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c/OBSIP/WHOI_Expts/Alaska_AACSE/Deployment_Cruise/"/>
    </mc:Choice>
  </mc:AlternateContent>
  <xr:revisionPtr revIDLastSave="0" documentId="13_ncr:1_{B77FA291-4113-B345-890A-08012645D64A}" xr6:coauthVersionLast="36" xr6:coauthVersionMax="36" xr10:uidLastSave="{00000000-0000-0000-0000-000000000000}"/>
  <bookViews>
    <workbookView xWindow="8840" yWindow="920" windowWidth="36900" windowHeight="17280" tabRatio="500" activeTab="1" xr2:uid="{00000000-000D-0000-FFFF-FFFF00000000}"/>
  </bookViews>
  <sheets>
    <sheet name="Assumptions" sheetId="3" r:id="rId1"/>
    <sheet name="Plan" sheetId="1" r:id="rId2"/>
    <sheet name="Map" sheetId="2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6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5" i="1"/>
  <c r="C1" i="2" l="1"/>
  <c r="B1" i="2"/>
  <c r="A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J14" i="1" l="1"/>
  <c r="C14" i="2" s="1"/>
  <c r="K14" i="1"/>
  <c r="B14" i="2" s="1"/>
  <c r="U14" i="1"/>
  <c r="J15" i="1"/>
  <c r="C15" i="2" s="1"/>
  <c r="K15" i="1"/>
  <c r="B15" i="2" s="1"/>
  <c r="L15" i="1"/>
  <c r="U15" i="1"/>
  <c r="J16" i="1"/>
  <c r="K16" i="1"/>
  <c r="U16" i="1"/>
  <c r="J17" i="1"/>
  <c r="C17" i="2" s="1"/>
  <c r="K17" i="1"/>
  <c r="B17" i="2" s="1"/>
  <c r="M17" i="1"/>
  <c r="U17" i="1"/>
  <c r="M15" i="1" l="1"/>
  <c r="M14" i="1"/>
  <c r="L16" i="1"/>
  <c r="C16" i="2"/>
  <c r="L14" i="1"/>
  <c r="M16" i="1"/>
  <c r="B16" i="2"/>
  <c r="L17" i="1"/>
  <c r="N14" i="1"/>
  <c r="O14" i="1" s="1"/>
  <c r="Q14" i="1" s="1"/>
  <c r="N16" i="1"/>
  <c r="O16" i="1" s="1"/>
  <c r="Q16" i="1" s="1"/>
  <c r="N15" i="1"/>
  <c r="O15" i="1" s="1"/>
  <c r="Q15" i="1" s="1"/>
  <c r="J2" i="1"/>
  <c r="C2" i="2" s="1"/>
  <c r="J3" i="1"/>
  <c r="C3" i="2" s="1"/>
  <c r="L3" i="1"/>
  <c r="K2" i="1"/>
  <c r="B2" i="2" s="1"/>
  <c r="M2" i="1"/>
  <c r="K3" i="1"/>
  <c r="B3" i="2" s="1"/>
  <c r="M3" i="1"/>
  <c r="J4" i="1"/>
  <c r="K4" i="1"/>
  <c r="B4" i="2" s="1"/>
  <c r="J5" i="1"/>
  <c r="K5" i="1"/>
  <c r="J6" i="1"/>
  <c r="C6" i="2" s="1"/>
  <c r="K6" i="1"/>
  <c r="B6" i="2" s="1"/>
  <c r="M6" i="1"/>
  <c r="U6" i="1"/>
  <c r="J7" i="1"/>
  <c r="K7" i="1"/>
  <c r="B7" i="2" s="1"/>
  <c r="M7" i="1"/>
  <c r="U7" i="1"/>
  <c r="J8" i="1"/>
  <c r="C8" i="2" s="1"/>
  <c r="K8" i="1"/>
  <c r="U8" i="1"/>
  <c r="J9" i="1"/>
  <c r="K9" i="1"/>
  <c r="U9" i="1"/>
  <c r="J10" i="1"/>
  <c r="C10" i="2" s="1"/>
  <c r="L10" i="1"/>
  <c r="K10" i="1"/>
  <c r="B10" i="2" s="1"/>
  <c r="U10" i="1"/>
  <c r="J11" i="1"/>
  <c r="K11" i="1"/>
  <c r="U11" i="1"/>
  <c r="J12" i="1"/>
  <c r="K12" i="1"/>
  <c r="B12" i="2" s="1"/>
  <c r="U12" i="1"/>
  <c r="J13" i="1"/>
  <c r="K13" i="1"/>
  <c r="U13" i="1"/>
  <c r="J18" i="1"/>
  <c r="K18" i="1"/>
  <c r="U18" i="1"/>
  <c r="J19" i="1"/>
  <c r="K19" i="1"/>
  <c r="B19" i="2" s="1"/>
  <c r="M19" i="1"/>
  <c r="U19" i="1"/>
  <c r="J20" i="1"/>
  <c r="K20" i="1"/>
  <c r="B20" i="2" s="1"/>
  <c r="U20" i="1"/>
  <c r="J21" i="1"/>
  <c r="K21" i="1"/>
  <c r="U21" i="1"/>
  <c r="J22" i="1"/>
  <c r="K22" i="1"/>
  <c r="B22" i="2" s="1"/>
  <c r="U22" i="1"/>
  <c r="J23" i="1"/>
  <c r="C23" i="2" s="1"/>
  <c r="K23" i="1"/>
  <c r="U23" i="1"/>
  <c r="J24" i="1"/>
  <c r="K24" i="1"/>
  <c r="U24" i="1"/>
  <c r="J25" i="1"/>
  <c r="C25" i="2" s="1"/>
  <c r="L25" i="1"/>
  <c r="K25" i="1"/>
  <c r="U25" i="1"/>
  <c r="J26" i="1"/>
  <c r="K26" i="1"/>
  <c r="U26" i="1"/>
  <c r="J27" i="1"/>
  <c r="K27" i="1"/>
  <c r="U27" i="1"/>
  <c r="J28" i="1"/>
  <c r="K28" i="1"/>
  <c r="U28" i="1"/>
  <c r="J29" i="1"/>
  <c r="K29" i="1"/>
  <c r="U29" i="1"/>
  <c r="J30" i="1"/>
  <c r="K30" i="1"/>
  <c r="U30" i="1"/>
  <c r="J31" i="1"/>
  <c r="K31" i="1"/>
  <c r="B31" i="2" s="1"/>
  <c r="M31" i="1"/>
  <c r="U31" i="1"/>
  <c r="J32" i="1"/>
  <c r="K32" i="1"/>
  <c r="U32" i="1"/>
  <c r="J33" i="1"/>
  <c r="K33" i="1"/>
  <c r="U33" i="1"/>
  <c r="J34" i="1"/>
  <c r="K34" i="1"/>
  <c r="B34" i="2" s="1"/>
  <c r="U34" i="1"/>
  <c r="J35" i="1"/>
  <c r="K35" i="1"/>
  <c r="U35" i="1"/>
  <c r="J36" i="1"/>
  <c r="C36" i="2" s="1"/>
  <c r="L36" i="1"/>
  <c r="K36" i="1"/>
  <c r="B36" i="2" s="1"/>
  <c r="M36" i="1"/>
  <c r="S36" i="1"/>
  <c r="U36" i="1"/>
  <c r="J37" i="1"/>
  <c r="C37" i="2" s="1"/>
  <c r="K37" i="1"/>
  <c r="S37" i="1"/>
  <c r="U37" i="1" s="1"/>
  <c r="J38" i="1"/>
  <c r="C38" i="2" s="1"/>
  <c r="L38" i="1"/>
  <c r="K38" i="1"/>
  <c r="B38" i="2" s="1"/>
  <c r="M38" i="1"/>
  <c r="S38" i="1"/>
  <c r="U38" i="1"/>
  <c r="J39" i="1"/>
  <c r="K39" i="1"/>
  <c r="B39" i="2" s="1"/>
  <c r="M39" i="1"/>
  <c r="L6" i="1" l="1"/>
  <c r="L4" i="1"/>
  <c r="C4" i="2"/>
  <c r="M5" i="1"/>
  <c r="B5" i="2"/>
  <c r="L39" i="1"/>
  <c r="N38" i="1" s="1"/>
  <c r="O38" i="1" s="1"/>
  <c r="Q38" i="1" s="1"/>
  <c r="C39" i="2"/>
  <c r="M37" i="1"/>
  <c r="B37" i="2"/>
  <c r="L5" i="1"/>
  <c r="N5" i="1" s="1"/>
  <c r="O5" i="1" s="1"/>
  <c r="Q5" i="1" s="1"/>
  <c r="C5" i="2"/>
  <c r="L37" i="1"/>
  <c r="N37" i="1" s="1"/>
  <c r="O37" i="1" s="1"/>
  <c r="Q37" i="1" s="1"/>
  <c r="M4" i="1"/>
  <c r="L2" i="1"/>
  <c r="N2" i="1" s="1"/>
  <c r="O2" i="1" s="1"/>
  <c r="Q2" i="1" s="1"/>
  <c r="W2" i="1" s="1"/>
  <c r="M34" i="1"/>
  <c r="M12" i="1"/>
  <c r="M22" i="1"/>
  <c r="L29" i="1"/>
  <c r="C29" i="2"/>
  <c r="M32" i="1"/>
  <c r="B32" i="2"/>
  <c r="L19" i="1"/>
  <c r="C19" i="2"/>
  <c r="L35" i="1"/>
  <c r="C35" i="2"/>
  <c r="L28" i="1"/>
  <c r="C28" i="2"/>
  <c r="L12" i="1"/>
  <c r="C12" i="2"/>
  <c r="L31" i="1"/>
  <c r="C31" i="2"/>
  <c r="L9" i="1"/>
  <c r="C9" i="2"/>
  <c r="L34" i="1"/>
  <c r="C34" i="2"/>
  <c r="L24" i="1"/>
  <c r="C24" i="2"/>
  <c r="L20" i="1"/>
  <c r="C20" i="2"/>
  <c r="M35" i="1"/>
  <c r="B35" i="2"/>
  <c r="M27" i="1"/>
  <c r="B27" i="2"/>
  <c r="L21" i="1"/>
  <c r="C21" i="2"/>
  <c r="L11" i="1"/>
  <c r="C11" i="2"/>
  <c r="L30" i="1"/>
  <c r="C30" i="2"/>
  <c r="M8" i="1"/>
  <c r="B8" i="2"/>
  <c r="M33" i="1"/>
  <c r="B33" i="2"/>
  <c r="M26" i="1"/>
  <c r="B26" i="2"/>
  <c r="M23" i="1"/>
  <c r="B23" i="2"/>
  <c r="L8" i="1"/>
  <c r="M29" i="1"/>
  <c r="B29" i="2"/>
  <c r="L13" i="1"/>
  <c r="C13" i="2"/>
  <c r="M25" i="1"/>
  <c r="B25" i="2"/>
  <c r="L32" i="1"/>
  <c r="C32" i="2"/>
  <c r="M28" i="1"/>
  <c r="B28" i="2"/>
  <c r="L7" i="1"/>
  <c r="N6" i="1" s="1"/>
  <c r="O6" i="1" s="1"/>
  <c r="Q6" i="1" s="1"/>
  <c r="C7" i="2"/>
  <c r="L22" i="1"/>
  <c r="N22" i="1" s="1"/>
  <c r="O22" i="1" s="1"/>
  <c r="Q22" i="1" s="1"/>
  <c r="C22" i="2"/>
  <c r="M9" i="1"/>
  <c r="B9" i="2"/>
  <c r="M24" i="1"/>
  <c r="B24" i="2"/>
  <c r="M21" i="1"/>
  <c r="B21" i="2"/>
  <c r="M18" i="1"/>
  <c r="B18" i="2"/>
  <c r="M11" i="1"/>
  <c r="B11" i="2"/>
  <c r="M30" i="1"/>
  <c r="B30" i="2"/>
  <c r="L27" i="1"/>
  <c r="C27" i="2"/>
  <c r="L18" i="1"/>
  <c r="C18" i="2"/>
  <c r="L33" i="1"/>
  <c r="C33" i="2"/>
  <c r="L26" i="1"/>
  <c r="C26" i="2"/>
  <c r="L23" i="1"/>
  <c r="M20" i="1"/>
  <c r="M13" i="1"/>
  <c r="B13" i="2"/>
  <c r="M10" i="1"/>
  <c r="N3" i="1"/>
  <c r="O3" i="1" s="1"/>
  <c r="Q3" i="1" s="1"/>
  <c r="V3" i="1"/>
  <c r="W3" i="1" s="1"/>
  <c r="X2" i="1"/>
  <c r="N36" i="1" l="1"/>
  <c r="O36" i="1" s="1"/>
  <c r="Q36" i="1" s="1"/>
  <c r="N4" i="1"/>
  <c r="O4" i="1" s="1"/>
  <c r="Q4" i="1" s="1"/>
  <c r="N8" i="1"/>
  <c r="O8" i="1" s="1"/>
  <c r="Q8" i="1" s="1"/>
  <c r="N19" i="1"/>
  <c r="O19" i="1" s="1"/>
  <c r="Q19" i="1" s="1"/>
  <c r="N28" i="1"/>
  <c r="O28" i="1" s="1"/>
  <c r="Q28" i="1" s="1"/>
  <c r="N13" i="1"/>
  <c r="O13" i="1" s="1"/>
  <c r="Q13" i="1" s="1"/>
  <c r="N29" i="1"/>
  <c r="O29" i="1" s="1"/>
  <c r="Q29" i="1" s="1"/>
  <c r="N23" i="1"/>
  <c r="O23" i="1" s="1"/>
  <c r="Q23" i="1" s="1"/>
  <c r="N18" i="1"/>
  <c r="O18" i="1" s="1"/>
  <c r="Q18" i="1" s="1"/>
  <c r="N25" i="1"/>
  <c r="O25" i="1" s="1"/>
  <c r="Q25" i="1" s="1"/>
  <c r="N24" i="1"/>
  <c r="O24" i="1" s="1"/>
  <c r="Q24" i="1" s="1"/>
  <c r="N12" i="1"/>
  <c r="O12" i="1" s="1"/>
  <c r="Q12" i="1" s="1"/>
  <c r="N27" i="1"/>
  <c r="O27" i="1" s="1"/>
  <c r="Q27" i="1" s="1"/>
  <c r="N9" i="1"/>
  <c r="O9" i="1" s="1"/>
  <c r="Q9" i="1" s="1"/>
  <c r="N20" i="1"/>
  <c r="O20" i="1" s="1"/>
  <c r="Q20" i="1" s="1"/>
  <c r="N33" i="1"/>
  <c r="O33" i="1" s="1"/>
  <c r="Q33" i="1" s="1"/>
  <c r="N21" i="1"/>
  <c r="O21" i="1" s="1"/>
  <c r="Q21" i="1" s="1"/>
  <c r="N31" i="1"/>
  <c r="O31" i="1" s="1"/>
  <c r="Q31" i="1" s="1"/>
  <c r="N26" i="1"/>
  <c r="O26" i="1" s="1"/>
  <c r="Q26" i="1" s="1"/>
  <c r="N11" i="1"/>
  <c r="O11" i="1" s="1"/>
  <c r="Q11" i="1" s="1"/>
  <c r="N34" i="1"/>
  <c r="O34" i="1" s="1"/>
  <c r="Q34" i="1" s="1"/>
  <c r="N30" i="1"/>
  <c r="O30" i="1" s="1"/>
  <c r="Q30" i="1" s="1"/>
  <c r="N17" i="1"/>
  <c r="O17" i="1" s="1"/>
  <c r="Q17" i="1" s="1"/>
  <c r="N35" i="1"/>
  <c r="O35" i="1" s="1"/>
  <c r="Q35" i="1" s="1"/>
  <c r="N7" i="1"/>
  <c r="O7" i="1" s="1"/>
  <c r="Q7" i="1" s="1"/>
  <c r="N32" i="1"/>
  <c r="O32" i="1" s="1"/>
  <c r="Q32" i="1" s="1"/>
  <c r="N10" i="1"/>
  <c r="O10" i="1" s="1"/>
  <c r="Q10" i="1" s="1"/>
  <c r="V4" i="1"/>
  <c r="W4" i="1" s="1"/>
  <c r="X3" i="1"/>
  <c r="X4" i="1" l="1"/>
  <c r="V5" i="1"/>
  <c r="W5" i="1" s="1"/>
  <c r="V6" i="1" l="1"/>
  <c r="W6" i="1" s="1"/>
  <c r="X5" i="1"/>
  <c r="Y5" i="1" s="1"/>
  <c r="X6" i="1" l="1"/>
  <c r="Y6" i="1" s="1"/>
  <c r="V7" i="1"/>
  <c r="W7" i="1" s="1"/>
  <c r="V8" i="1" l="1"/>
  <c r="W8" i="1" s="1"/>
  <c r="X7" i="1"/>
  <c r="Y7" i="1" s="1"/>
  <c r="V9" i="1" l="1"/>
  <c r="W9" i="1" s="1"/>
  <c r="X8" i="1"/>
  <c r="Y8" i="1" s="1"/>
  <c r="V10" i="1" l="1"/>
  <c r="W10" i="1" s="1"/>
  <c r="X9" i="1"/>
  <c r="Y9" i="1" s="1"/>
  <c r="X10" i="1" l="1"/>
  <c r="Y10" i="1" s="1"/>
  <c r="V11" i="1"/>
  <c r="W11" i="1" s="1"/>
  <c r="X11" i="1" l="1"/>
  <c r="Y11" i="1" s="1"/>
  <c r="V12" i="1"/>
  <c r="W12" i="1" s="1"/>
  <c r="V13" i="1" l="1"/>
  <c r="W13" i="1" s="1"/>
  <c r="V14" i="1" s="1"/>
  <c r="W14" i="1" s="1"/>
  <c r="X12" i="1"/>
  <c r="Y12" i="1" s="1"/>
  <c r="V15" i="1" l="1"/>
  <c r="W15" i="1" s="1"/>
  <c r="X13" i="1"/>
  <c r="Y13" i="1" s="1"/>
  <c r="X14" i="1" l="1"/>
  <c r="Y14" i="1" s="1"/>
  <c r="X15" i="1"/>
  <c r="Y15" i="1" s="1"/>
  <c r="V16" i="1"/>
  <c r="W16" i="1" s="1"/>
  <c r="V17" i="1" l="1"/>
  <c r="W17" i="1" s="1"/>
  <c r="X16" i="1"/>
  <c r="Y16" i="1" s="1"/>
  <c r="X17" i="1" l="1"/>
  <c r="Y17" i="1" s="1"/>
  <c r="V18" i="1"/>
  <c r="W18" i="1" s="1"/>
  <c r="X18" i="1" l="1"/>
  <c r="Y18" i="1" s="1"/>
  <c r="V19" i="1"/>
  <c r="W19" i="1" s="1"/>
  <c r="V20" i="1" l="1"/>
  <c r="W20" i="1" s="1"/>
  <c r="X19" i="1"/>
  <c r="Y19" i="1" s="1"/>
  <c r="V21" i="1" l="1"/>
  <c r="W21" i="1" s="1"/>
  <c r="X20" i="1"/>
  <c r="Y20" i="1" s="1"/>
  <c r="V22" i="1" l="1"/>
  <c r="W22" i="1" s="1"/>
  <c r="X21" i="1"/>
  <c r="Y21" i="1" s="1"/>
  <c r="X22" i="1" l="1"/>
  <c r="Y22" i="1" s="1"/>
  <c r="V23" i="1"/>
  <c r="W23" i="1" s="1"/>
  <c r="X23" i="1" l="1"/>
  <c r="Y23" i="1" s="1"/>
  <c r="V24" i="1"/>
  <c r="W24" i="1" s="1"/>
  <c r="X24" i="1" l="1"/>
  <c r="Y24" i="1" s="1"/>
  <c r="V25" i="1"/>
  <c r="W25" i="1" s="1"/>
  <c r="X25" i="1" l="1"/>
  <c r="Y25" i="1" s="1"/>
  <c r="V26" i="1"/>
  <c r="W26" i="1" s="1"/>
  <c r="V27" i="1" l="1"/>
  <c r="W27" i="1" s="1"/>
  <c r="X26" i="1"/>
  <c r="Y26" i="1" s="1"/>
  <c r="V28" i="1" l="1"/>
  <c r="W28" i="1" s="1"/>
  <c r="X27" i="1"/>
  <c r="Y27" i="1" s="1"/>
  <c r="X28" i="1" l="1"/>
  <c r="Y28" i="1" s="1"/>
  <c r="V29" i="1"/>
  <c r="W29" i="1" s="1"/>
  <c r="X29" i="1" l="1"/>
  <c r="Y29" i="1" s="1"/>
  <c r="V30" i="1"/>
  <c r="W30" i="1" s="1"/>
  <c r="X30" i="1" l="1"/>
  <c r="Y30" i="1" s="1"/>
  <c r="V31" i="1"/>
  <c r="W31" i="1" s="1"/>
  <c r="X31" i="1" l="1"/>
  <c r="Y31" i="1" s="1"/>
  <c r="V32" i="1"/>
  <c r="W32" i="1" s="1"/>
  <c r="V33" i="1" l="1"/>
  <c r="W33" i="1" s="1"/>
  <c r="X32" i="1"/>
  <c r="Y32" i="1" s="1"/>
  <c r="V34" i="1" l="1"/>
  <c r="W34" i="1" s="1"/>
  <c r="X33" i="1"/>
  <c r="Y33" i="1" s="1"/>
  <c r="X34" i="1" l="1"/>
  <c r="Y34" i="1" s="1"/>
  <c r="V35" i="1"/>
  <c r="W35" i="1" s="1"/>
  <c r="X35" i="1" l="1"/>
  <c r="Y35" i="1" s="1"/>
  <c r="V36" i="1"/>
  <c r="W36" i="1" s="1"/>
  <c r="X36" i="1" l="1"/>
  <c r="Y36" i="1" s="1"/>
  <c r="V37" i="1"/>
  <c r="W37" i="1" s="1"/>
  <c r="X37" i="1" l="1"/>
  <c r="Y37" i="1" s="1"/>
  <c r="V38" i="1"/>
  <c r="W38" i="1" s="1"/>
  <c r="X38" i="1" s="1"/>
  <c r="Y38" i="1" s="1"/>
</calcChain>
</file>

<file path=xl/sharedStrings.xml><?xml version="1.0" encoding="utf-8"?>
<sst xmlns="http://schemas.openxmlformats.org/spreadsheetml/2006/main" count="144" uniqueCount="65">
  <si>
    <t>N</t>
  </si>
  <si>
    <t>W</t>
  </si>
  <si>
    <t>WHOI OBS I.D.</t>
  </si>
  <si>
    <t>Site Name</t>
  </si>
  <si>
    <t>Site Latitude (deg)</t>
    <phoneticPr fontId="0"/>
  </si>
  <si>
    <t>Site Latitude (min)</t>
    <phoneticPr fontId="0"/>
  </si>
  <si>
    <t>Site Latitude (hemi)</t>
    <phoneticPr fontId="0"/>
  </si>
  <si>
    <t>Site Longitude (deg)</t>
    <phoneticPr fontId="0"/>
  </si>
  <si>
    <t>Site Longitude (min)</t>
    <phoneticPr fontId="0"/>
  </si>
  <si>
    <t>Site Longitude (hemi)</t>
    <phoneticPr fontId="0"/>
  </si>
  <si>
    <t>Station Depth (m)</t>
  </si>
  <si>
    <t>Site Latitude (decimal degrees)</t>
    <phoneticPr fontId="0"/>
  </si>
  <si>
    <t>Site Longitude (decimal degrees)</t>
    <phoneticPr fontId="0"/>
  </si>
  <si>
    <t>Site Co-Latitude (radians)</t>
    <phoneticPr fontId="1"/>
  </si>
  <si>
    <t>Site Longitude (radians)</t>
    <phoneticPr fontId="1"/>
  </si>
  <si>
    <t>Distance to Following Site (km)</t>
    <phoneticPr fontId="1"/>
  </si>
  <si>
    <t>Distance to Following Site (nm)</t>
    <phoneticPr fontId="1"/>
  </si>
  <si>
    <t>Ship Speed (knots)</t>
    <phoneticPr fontId="1"/>
  </si>
  <si>
    <t>Time to Following Site (decimal hrs)</t>
    <phoneticPr fontId="1"/>
  </si>
  <si>
    <t>Time On Site (hours)</t>
    <phoneticPr fontId="1"/>
  </si>
  <si>
    <t>Cumulative Time (days)</t>
  </si>
  <si>
    <t>Seward</t>
  </si>
  <si>
    <t>WP-01</t>
  </si>
  <si>
    <t>WP-02</t>
  </si>
  <si>
    <t>WP-03</t>
  </si>
  <si>
    <t>On_site Prep. Time (hours)</t>
  </si>
  <si>
    <t>OBS Fall Time (hours)</t>
  </si>
  <si>
    <t>OBS Survey Time (hours)</t>
  </si>
  <si>
    <t>Site Departure Date and Time (local)</t>
  </si>
  <si>
    <t>Arrival Time Next Site (local)</t>
  </si>
  <si>
    <t>Cumulative Time to Next Station  (hrs)</t>
  </si>
  <si>
    <t>WD46</t>
  </si>
  <si>
    <t>WD47</t>
  </si>
  <si>
    <t>WD48</t>
  </si>
  <si>
    <t>WD49</t>
  </si>
  <si>
    <t>WD50</t>
  </si>
  <si>
    <t>WD51</t>
  </si>
  <si>
    <t>WD52</t>
  </si>
  <si>
    <t>WD53</t>
  </si>
  <si>
    <t>WD54</t>
  </si>
  <si>
    <t>WD55</t>
  </si>
  <si>
    <t>WD56</t>
  </si>
  <si>
    <t>WD57</t>
  </si>
  <si>
    <t>WD58</t>
  </si>
  <si>
    <t>WD59</t>
  </si>
  <si>
    <t>WD60</t>
  </si>
  <si>
    <t>WD61</t>
  </si>
  <si>
    <t>WD62</t>
  </si>
  <si>
    <t>WD63</t>
  </si>
  <si>
    <t>WD64</t>
  </si>
  <si>
    <t>WD65</t>
  </si>
  <si>
    <t>WD66</t>
  </si>
  <si>
    <t>WD67</t>
  </si>
  <si>
    <t>WD68</t>
  </si>
  <si>
    <t>WD69</t>
  </si>
  <si>
    <t>WD70</t>
  </si>
  <si>
    <t>WS71</t>
  </si>
  <si>
    <t>WS72</t>
  </si>
  <si>
    <t>WS73</t>
  </si>
  <si>
    <t>WS74</t>
  </si>
  <si>
    <t>WS75</t>
  </si>
  <si>
    <t>Ship Transit Speed (knots)</t>
  </si>
  <si>
    <t>On-Station OBS Prep. Time (hours)</t>
  </si>
  <si>
    <t>OBS Fall Rate (meters/minute)</t>
  </si>
  <si>
    <t>OBS Rise Rate (meters/minute)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</si>
</sst>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"/>
    <numFmt numFmtId="166" formatCode="0.0"/>
    <numFmt numFmtId="167" formatCode="0.00000000"/>
    <numFmt numFmtId="168" formatCode="0.00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/>
    <xf numFmtId="0" fontId="0" fillId="2" borderId="1" xfId="0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165" fontId="0" fillId="2" borderId="1" xfId="0" applyNumberForma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top" wrapText="1"/>
    </xf>
    <xf numFmtId="22" fontId="0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Font="1" applyFill="1" applyBorder="1" applyAlignment="1">
      <alignment horizontal="center" vertical="top" wrapText="1"/>
    </xf>
    <xf numFmtId="22" fontId="0" fillId="0" borderId="0" xfId="0" applyNumberFormat="1" applyFill="1" applyAlignment="1">
      <alignment horizontal="center"/>
    </xf>
    <xf numFmtId="167" fontId="0" fillId="0" borderId="0" xfId="0" applyNumberFormat="1" applyFont="1" applyAlignment="1">
      <alignment horizontal="center"/>
    </xf>
    <xf numFmtId="168" fontId="0" fillId="0" borderId="0" xfId="0" applyNumberFormat="1" applyFill="1" applyBorder="1" applyAlignment="1">
      <alignment horizontal="center" vertical="top" wrapText="1"/>
    </xf>
    <xf numFmtId="168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 wrapText="1"/>
    </xf>
    <xf numFmtId="168" fontId="0" fillId="4" borderId="0" xfId="0" applyNumberFormat="1" applyFill="1" applyBorder="1" applyAlignment="1">
      <alignment horizontal="center" vertical="top" wrapText="1"/>
    </xf>
    <xf numFmtId="164" fontId="0" fillId="4" borderId="0" xfId="0" applyNumberFormat="1" applyFont="1" applyFill="1" applyAlignment="1">
      <alignment horizontal="center"/>
    </xf>
    <xf numFmtId="167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ont="1" applyFill="1" applyBorder="1" applyAlignment="1">
      <alignment horizontal="center" vertical="top" wrapText="1"/>
    </xf>
    <xf numFmtId="166" fontId="0" fillId="4" borderId="0" xfId="0" applyNumberFormat="1" applyFont="1" applyFill="1" applyBorder="1" applyAlignment="1">
      <alignment horizontal="center" vertical="top" wrapText="1"/>
    </xf>
    <xf numFmtId="22" fontId="0" fillId="4" borderId="0" xfId="0" applyNumberFormat="1" applyFill="1" applyAlignment="1">
      <alignment horizontal="center"/>
    </xf>
    <xf numFmtId="22" fontId="0" fillId="4" borderId="0" xfId="0" applyNumberFormat="1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166" fontId="0" fillId="4" borderId="0" xfId="0" applyNumberFormat="1" applyFill="1" applyAlignment="1">
      <alignment horizontal="center"/>
    </xf>
    <xf numFmtId="0" fontId="0" fillId="4" borderId="0" xfId="0" applyFill="1"/>
  </cellXfs>
  <cellStyles count="2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-2065873960"/>
        <c:axId val="-2066567912"/>
      </c:scatterChart>
      <c:valAx>
        <c:axId val="-206587396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66567912"/>
        <c:crosses val="autoZero"/>
        <c:crossBetween val="midCat"/>
      </c:valAx>
      <c:valAx>
        <c:axId val="-206656791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-20658739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Map!$B$2:$B$39</c:f>
              <c:numCache>
                <c:formatCode>0.00000</c:formatCode>
                <c:ptCount val="38"/>
                <c:pt idx="0">
                  <c:v>-149.42793333333333</c:v>
                </c:pt>
                <c:pt idx="1">
                  <c:v>-149.35191666666665</c:v>
                </c:pt>
                <c:pt idx="2">
                  <c:v>-149.47773333333333</c:v>
                </c:pt>
                <c:pt idx="3">
                  <c:v>-149.37926666666667</c:v>
                </c:pt>
                <c:pt idx="4">
                  <c:v>-149.69999999999999</c:v>
                </c:pt>
                <c:pt idx="5">
                  <c:v>-150.44999999999999</c:v>
                </c:pt>
                <c:pt idx="6">
                  <c:v>-151.9</c:v>
                </c:pt>
                <c:pt idx="7">
                  <c:v>-153.42058</c:v>
                </c:pt>
                <c:pt idx="8">
                  <c:v>-155.03756000000001</c:v>
                </c:pt>
                <c:pt idx="9">
                  <c:v>-155.80735000000001</c:v>
                </c:pt>
                <c:pt idx="10">
                  <c:v>-156.58186000000001</c:v>
                </c:pt>
                <c:pt idx="11">
                  <c:v>-157.33211</c:v>
                </c:pt>
                <c:pt idx="12">
                  <c:v>-158.09085999999999</c:v>
                </c:pt>
                <c:pt idx="13">
                  <c:v>-158.697</c:v>
                </c:pt>
                <c:pt idx="14">
                  <c:v>-158.91485</c:v>
                </c:pt>
                <c:pt idx="15">
                  <c:v>-160.03129999999999</c:v>
                </c:pt>
                <c:pt idx="16">
                  <c:v>-160.07830000000001</c:v>
                </c:pt>
                <c:pt idx="17">
                  <c:v>-159.60613000000001</c:v>
                </c:pt>
                <c:pt idx="18">
                  <c:v>-160.333</c:v>
                </c:pt>
                <c:pt idx="19">
                  <c:v>-160.25</c:v>
                </c:pt>
                <c:pt idx="20">
                  <c:v>-159.35</c:v>
                </c:pt>
                <c:pt idx="21">
                  <c:v>-159.32525000000001</c:v>
                </c:pt>
                <c:pt idx="22">
                  <c:v>-158.51</c:v>
                </c:pt>
                <c:pt idx="23">
                  <c:v>-156.875</c:v>
                </c:pt>
                <c:pt idx="24">
                  <c:v>-154.43606</c:v>
                </c:pt>
                <c:pt idx="25">
                  <c:v>-154.32</c:v>
                </c:pt>
                <c:pt idx="26">
                  <c:v>-153.6</c:v>
                </c:pt>
                <c:pt idx="27">
                  <c:v>-153.66</c:v>
                </c:pt>
                <c:pt idx="28">
                  <c:v>-153.07499999999999</c:v>
                </c:pt>
                <c:pt idx="29">
                  <c:v>-152.75</c:v>
                </c:pt>
                <c:pt idx="30">
                  <c:v>-152.39690999999999</c:v>
                </c:pt>
                <c:pt idx="31">
                  <c:v>-151.833</c:v>
                </c:pt>
                <c:pt idx="32">
                  <c:v>-151.733</c:v>
                </c:pt>
                <c:pt idx="33">
                  <c:v>-151.22756999999999</c:v>
                </c:pt>
                <c:pt idx="34">
                  <c:v>-149.37926666666667</c:v>
                </c:pt>
                <c:pt idx="35">
                  <c:v>-149.47773333333333</c:v>
                </c:pt>
                <c:pt idx="36">
                  <c:v>-149.35191666666665</c:v>
                </c:pt>
                <c:pt idx="37">
                  <c:v>-149.42793333333333</c:v>
                </c:pt>
              </c:numCache>
            </c:numRef>
          </c:xVal>
          <c:yVal>
            <c:numRef>
              <c:f>Map!$C$2:$C$39</c:f>
              <c:numCache>
                <c:formatCode>0.00000</c:formatCode>
                <c:ptCount val="38"/>
                <c:pt idx="0">
                  <c:v>60.118899999999996</c:v>
                </c:pt>
                <c:pt idx="1">
                  <c:v>59.971216666666663</c:v>
                </c:pt>
                <c:pt idx="2">
                  <c:v>59.826866666666668</c:v>
                </c:pt>
                <c:pt idx="3">
                  <c:v>59.752816666666668</c:v>
                </c:pt>
                <c:pt idx="4">
                  <c:v>55.52</c:v>
                </c:pt>
                <c:pt idx="5">
                  <c:v>54.95</c:v>
                </c:pt>
                <c:pt idx="6">
                  <c:v>54.4</c:v>
                </c:pt>
                <c:pt idx="7">
                  <c:v>53.78</c:v>
                </c:pt>
                <c:pt idx="8">
                  <c:v>53.906179999999999</c:v>
                </c:pt>
                <c:pt idx="9">
                  <c:v>53.38026</c:v>
                </c:pt>
                <c:pt idx="10">
                  <c:v>52.642359999999996</c:v>
                </c:pt>
                <c:pt idx="11">
                  <c:v>53.361840000000001</c:v>
                </c:pt>
                <c:pt idx="12">
                  <c:v>52.591369999999998</c:v>
                </c:pt>
                <c:pt idx="13">
                  <c:v>52.000100000000003</c:v>
                </c:pt>
                <c:pt idx="14">
                  <c:v>52.902329999999999</c:v>
                </c:pt>
                <c:pt idx="15">
                  <c:v>52.162979999999997</c:v>
                </c:pt>
                <c:pt idx="16">
                  <c:v>52.919060000000002</c:v>
                </c:pt>
                <c:pt idx="17">
                  <c:v>53.325670000000002</c:v>
                </c:pt>
                <c:pt idx="18">
                  <c:v>53.783299999999997</c:v>
                </c:pt>
                <c:pt idx="19">
                  <c:v>54.18</c:v>
                </c:pt>
                <c:pt idx="20">
                  <c:v>54.05</c:v>
                </c:pt>
                <c:pt idx="21">
                  <c:v>54.36</c:v>
                </c:pt>
                <c:pt idx="22">
                  <c:v>54.42</c:v>
                </c:pt>
                <c:pt idx="23">
                  <c:v>54.65</c:v>
                </c:pt>
                <c:pt idx="24">
                  <c:v>54.731259999999999</c:v>
                </c:pt>
                <c:pt idx="25">
                  <c:v>55.232999999999997</c:v>
                </c:pt>
                <c:pt idx="26">
                  <c:v>55.466999999999999</c:v>
                </c:pt>
                <c:pt idx="27">
                  <c:v>55.76</c:v>
                </c:pt>
                <c:pt idx="28">
                  <c:v>56.15</c:v>
                </c:pt>
                <c:pt idx="29">
                  <c:v>55.9</c:v>
                </c:pt>
                <c:pt idx="30">
                  <c:v>55.452069999999999</c:v>
                </c:pt>
                <c:pt idx="31">
                  <c:v>56.25</c:v>
                </c:pt>
                <c:pt idx="32">
                  <c:v>56.625</c:v>
                </c:pt>
                <c:pt idx="33">
                  <c:v>56.543999999999997</c:v>
                </c:pt>
                <c:pt idx="34">
                  <c:v>59.752816666666668</c:v>
                </c:pt>
                <c:pt idx="35">
                  <c:v>59.826866666666668</c:v>
                </c:pt>
                <c:pt idx="36">
                  <c:v>59.971216666666663</c:v>
                </c:pt>
                <c:pt idx="37">
                  <c:v>60.118899999999996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78-4540-8780-8A22CB80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6558008"/>
        <c:axId val="-2066439480"/>
      </c:scatterChart>
      <c:valAx>
        <c:axId val="-2066558008"/>
        <c:scaling>
          <c:orientation val="minMax"/>
        </c:scaling>
        <c:delete val="0"/>
        <c:axPos val="b"/>
        <c:numFmt formatCode="0.00000" sourceLinked="1"/>
        <c:majorTickMark val="out"/>
        <c:minorTickMark val="none"/>
        <c:tickLblPos val="nextTo"/>
        <c:crossAx val="-2066439480"/>
        <c:crosses val="autoZero"/>
        <c:crossBetween val="midCat"/>
      </c:valAx>
      <c:valAx>
        <c:axId val="-2066439480"/>
        <c:scaling>
          <c:orientation val="minMax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-2066558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768350</xdr:colOff>
      <xdr:row>1</xdr:row>
      <xdr:rowOff>31750</xdr:rowOff>
    </xdr:from>
    <xdr:to>
      <xdr:col>24</xdr:col>
      <xdr:colOff>387350</xdr:colOff>
      <xdr:row>15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393700</xdr:colOff>
      <xdr:row>1</xdr:row>
      <xdr:rowOff>127000</xdr:rowOff>
    </xdr:from>
    <xdr:to>
      <xdr:col>20</xdr:col>
      <xdr:colOff>647700</xdr:colOff>
      <xdr:row>41</xdr:row>
      <xdr:rowOff>101600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D52C-1437-9B42-9729-BC689E4F82CB}">
  <dimension ref="C3:D8"/>
  <sheetViews>
    <sheetView workbookViewId="0">
      <selection activeCell="D6" sqref="D6"/>
    </sheetView>
  </sheetViews>
  <sheetFormatPr baseColWidth="10" defaultRowHeight="16" x14ac:dyDescent="0.2"/>
  <cols>
    <col min="3" max="3" width="37.33203125" customWidth="1"/>
    <col min="4" max="4" width="36.6640625" customWidth="1"/>
  </cols>
  <sheetData>
    <row r="3" spans="3:4" x14ac:dyDescent="0.2">
      <c r="C3" t="s">
        <v>61</v>
      </c>
      <c r="D3">
        <v>10.5</v>
      </c>
    </row>
    <row r="5" spans="3:4" x14ac:dyDescent="0.2">
      <c r="C5" t="s">
        <v>62</v>
      </c>
      <c r="D5">
        <v>1</v>
      </c>
    </row>
    <row r="6" spans="3:4" x14ac:dyDescent="0.2">
      <c r="C6" t="s">
        <v>63</v>
      </c>
      <c r="D6">
        <v>30</v>
      </c>
    </row>
    <row r="7" spans="3:4" x14ac:dyDescent="0.2">
      <c r="C7" t="s">
        <v>64</v>
      </c>
      <c r="D7">
        <v>30</v>
      </c>
    </row>
    <row r="8" spans="3:4" x14ac:dyDescent="0.2">
      <c r="C8" t="s">
        <v>27</v>
      </c>
      <c r="D8">
        <v>1.5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showRuler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9" sqref="A9"/>
    </sheetView>
  </sheetViews>
  <sheetFormatPr baseColWidth="10" defaultRowHeight="16" x14ac:dyDescent="0.2"/>
  <cols>
    <col min="1" max="1" width="25.1640625" customWidth="1"/>
    <col min="3" max="3" width="15.33203125" customWidth="1"/>
    <col min="4" max="4" width="14.83203125" customWidth="1"/>
    <col min="5" max="5" width="15.1640625" customWidth="1"/>
    <col min="6" max="6" width="15.33203125" customWidth="1"/>
    <col min="7" max="7" width="14.33203125" customWidth="1"/>
    <col min="8" max="8" width="13.83203125" customWidth="1"/>
    <col min="10" max="10" width="16.1640625" customWidth="1"/>
    <col min="11" max="11" width="17" customWidth="1"/>
    <col min="12" max="13" width="14.33203125" customWidth="1"/>
    <col min="14" max="14" width="16.6640625" customWidth="1"/>
    <col min="15" max="15" width="17.1640625" customWidth="1"/>
    <col min="17" max="20" width="15.83203125" customWidth="1"/>
    <col min="22" max="22" width="20.1640625" customWidth="1"/>
    <col min="23" max="23" width="15.83203125" customWidth="1"/>
    <col min="24" max="24" width="19.83203125" customWidth="1"/>
    <col min="25" max="25" width="14.5" customWidth="1"/>
  </cols>
  <sheetData>
    <row r="1" spans="1:29" ht="55" customHeight="1" x14ac:dyDescent="0.2">
      <c r="A1" s="5" t="s">
        <v>3</v>
      </c>
      <c r="B1" s="5" t="s">
        <v>2</v>
      </c>
      <c r="C1" s="5" t="s">
        <v>4</v>
      </c>
      <c r="D1" s="7" t="s">
        <v>5</v>
      </c>
      <c r="E1" s="5" t="s">
        <v>6</v>
      </c>
      <c r="F1" s="5" t="s">
        <v>7</v>
      </c>
      <c r="G1" s="7" t="s">
        <v>8</v>
      </c>
      <c r="H1" s="5" t="s">
        <v>9</v>
      </c>
      <c r="I1" s="5" t="s">
        <v>10</v>
      </c>
      <c r="J1" s="7" t="s">
        <v>11</v>
      </c>
      <c r="K1" s="7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25</v>
      </c>
      <c r="S1" s="5" t="s">
        <v>26</v>
      </c>
      <c r="T1" s="5" t="s">
        <v>27</v>
      </c>
      <c r="U1" s="5" t="s">
        <v>19</v>
      </c>
      <c r="V1" s="5" t="s">
        <v>28</v>
      </c>
      <c r="W1" s="6" t="s">
        <v>29</v>
      </c>
      <c r="X1" s="6" t="s">
        <v>30</v>
      </c>
      <c r="Y1" s="6" t="s">
        <v>20</v>
      </c>
    </row>
    <row r="2" spans="1:29" s="4" customFormat="1" x14ac:dyDescent="0.2">
      <c r="A2" s="21" t="s">
        <v>21</v>
      </c>
      <c r="B2" s="21"/>
      <c r="C2" s="21">
        <v>60</v>
      </c>
      <c r="D2" s="22">
        <v>7.1340000000000003</v>
      </c>
      <c r="E2" s="21" t="s">
        <v>0</v>
      </c>
      <c r="F2" s="21">
        <v>149</v>
      </c>
      <c r="G2" s="22">
        <v>25.675999999999998</v>
      </c>
      <c r="H2" s="21" t="s">
        <v>1</v>
      </c>
      <c r="I2" s="21"/>
      <c r="J2" s="23">
        <f t="shared" ref="J2" si="0">IF(E2="N",C2+D2/60,-(C2+D2/60))</f>
        <v>60.118899999999996</v>
      </c>
      <c r="K2" s="23">
        <f t="shared" ref="K2" si="1">IF(H2="E",F2+G2/60,-(F2+G2/60))</f>
        <v>-149.42793333333333</v>
      </c>
      <c r="L2" s="24">
        <f t="shared" ref="L2" si="2">RADIANS(90 - J2)</f>
        <v>0.52152357911767766</v>
      </c>
      <c r="M2" s="24">
        <f t="shared" ref="M2" si="3">RADIANS(K2)</f>
        <v>-2.6080094311172521</v>
      </c>
      <c r="N2" s="25">
        <f xml:space="preserve"> ROUND(ACOS( COS(L2)*COS(L3) + SIN(L2)*SIN(L3)*COS(M2-M3) ) * 6371,0)</f>
        <v>17</v>
      </c>
      <c r="O2" s="25">
        <f>ROUND(N2/1.852, 0)</f>
        <v>9</v>
      </c>
      <c r="P2" s="26">
        <v>5</v>
      </c>
      <c r="Q2" s="27">
        <f>ROUND(O2/P2,1)</f>
        <v>1.8</v>
      </c>
      <c r="R2" s="27">
        <v>0</v>
      </c>
      <c r="S2" s="27">
        <v>0</v>
      </c>
      <c r="T2" s="27">
        <v>0</v>
      </c>
      <c r="U2" s="26">
        <v>0</v>
      </c>
      <c r="V2" s="28">
        <v>43292.416666666664</v>
      </c>
      <c r="W2" s="29">
        <f t="shared" ref="W2" si="4">V2  + Q2/24</f>
        <v>43292.491666666661</v>
      </c>
      <c r="X2" s="27">
        <f>(W2-V2)*24</f>
        <v>1.7999999999301508</v>
      </c>
      <c r="Y2" s="26">
        <v>0</v>
      </c>
    </row>
    <row r="3" spans="1:29" s="4" customFormat="1" x14ac:dyDescent="0.2">
      <c r="A3" s="21" t="s">
        <v>22</v>
      </c>
      <c r="B3" s="21"/>
      <c r="C3" s="21">
        <v>59</v>
      </c>
      <c r="D3" s="22">
        <v>58.273000000000003</v>
      </c>
      <c r="E3" s="21" t="s">
        <v>0</v>
      </c>
      <c r="F3" s="21">
        <v>149</v>
      </c>
      <c r="G3" s="22">
        <v>21.114999999999998</v>
      </c>
      <c r="H3" s="21" t="s">
        <v>1</v>
      </c>
      <c r="I3" s="21"/>
      <c r="J3" s="23">
        <f t="shared" ref="J3:J4" si="5">IF(E3="N",C3+D3/60,-(C3+D3/60))</f>
        <v>59.971216666666663</v>
      </c>
      <c r="K3" s="23">
        <f t="shared" ref="K3:K4" si="6">IF(H3="E",F3+G3/60,-(F3+G3/60))</f>
        <v>-149.35191666666665</v>
      </c>
      <c r="L3" s="24">
        <f t="shared" ref="L3:L4" si="7">RADIANS(90 - J3)</f>
        <v>0.52410113953466464</v>
      </c>
      <c r="M3" s="24">
        <f t="shared" ref="M3:M4" si="8">RADIANS(K3)</f>
        <v>-2.6066826899975277</v>
      </c>
      <c r="N3" s="25">
        <f t="shared" ref="N3:N34" si="9" xml:space="preserve"> ROUND(ACOS( COS(L3)*COS(L4) + SIN(L3)*SIN(L4)*COS(M3-M4) ) * 6371,0)</f>
        <v>18</v>
      </c>
      <c r="O3" s="25">
        <f t="shared" ref="O3:O35" si="10">ROUND(N3/1.852, 0)</f>
        <v>10</v>
      </c>
      <c r="P3" s="26">
        <v>6</v>
      </c>
      <c r="Q3" s="27">
        <f t="shared" ref="Q3:Q4" si="11">ROUND(O3/P3,1)</f>
        <v>1.7</v>
      </c>
      <c r="R3" s="27">
        <v>0</v>
      </c>
      <c r="S3" s="27">
        <v>0</v>
      </c>
      <c r="T3" s="27">
        <v>0</v>
      </c>
      <c r="U3" s="26">
        <v>0</v>
      </c>
      <c r="V3" s="28">
        <f>W2+U3/24</f>
        <v>43292.491666666661</v>
      </c>
      <c r="W3" s="29">
        <f>V3  + Q3/24</f>
        <v>43292.562499999993</v>
      </c>
      <c r="X3" s="27">
        <f>(W3-V3)*24 + (V3-W2)*24 + X2</f>
        <v>3.4999999998835847</v>
      </c>
      <c r="Y3" s="26">
        <v>0</v>
      </c>
    </row>
    <row r="4" spans="1:29" s="4" customFormat="1" x14ac:dyDescent="0.2">
      <c r="A4" s="21" t="s">
        <v>23</v>
      </c>
      <c r="B4" s="21"/>
      <c r="C4" s="21">
        <v>59</v>
      </c>
      <c r="D4" s="22">
        <v>49.612000000000002</v>
      </c>
      <c r="E4" s="21" t="s">
        <v>0</v>
      </c>
      <c r="F4" s="21">
        <v>149</v>
      </c>
      <c r="G4" s="22">
        <v>28.664000000000001</v>
      </c>
      <c r="H4" s="21" t="s">
        <v>1</v>
      </c>
      <c r="I4" s="21"/>
      <c r="J4" s="23">
        <f t="shared" si="5"/>
        <v>59.826866666666668</v>
      </c>
      <c r="K4" s="23">
        <f t="shared" si="6"/>
        <v>-149.47773333333333</v>
      </c>
      <c r="L4" s="24">
        <f t="shared" si="7"/>
        <v>0.5266205223099184</v>
      </c>
      <c r="M4" s="24">
        <f t="shared" si="8"/>
        <v>-2.6088786050847452</v>
      </c>
      <c r="N4" s="25">
        <f t="shared" si="9"/>
        <v>10</v>
      </c>
      <c r="O4" s="25">
        <f t="shared" si="10"/>
        <v>5</v>
      </c>
      <c r="P4" s="26">
        <v>6</v>
      </c>
      <c r="Q4" s="27">
        <f t="shared" si="11"/>
        <v>0.8</v>
      </c>
      <c r="R4" s="27">
        <v>0</v>
      </c>
      <c r="S4" s="27">
        <v>0</v>
      </c>
      <c r="T4" s="27">
        <v>0</v>
      </c>
      <c r="U4" s="26">
        <v>0</v>
      </c>
      <c r="V4" s="28">
        <f>W3+U4/24</f>
        <v>43292.562499999993</v>
      </c>
      <c r="W4" s="29">
        <f t="shared" ref="W4:W35" si="12">V4  + Q4/24</f>
        <v>43292.595833333326</v>
      </c>
      <c r="X4" s="27">
        <f>(W4-V4)*24 + (V4-W3)*24 + X3</f>
        <v>4.2999999998719431</v>
      </c>
      <c r="Y4" s="26">
        <v>0</v>
      </c>
      <c r="AC4" s="12"/>
    </row>
    <row r="5" spans="1:29" s="4" customFormat="1" x14ac:dyDescent="0.2">
      <c r="A5" s="21" t="s">
        <v>24</v>
      </c>
      <c r="B5" s="21"/>
      <c r="C5" s="21">
        <v>59</v>
      </c>
      <c r="D5" s="22">
        <v>45.168999999999997</v>
      </c>
      <c r="E5" s="21" t="s">
        <v>0</v>
      </c>
      <c r="F5" s="21">
        <v>149</v>
      </c>
      <c r="G5" s="22">
        <v>22.756</v>
      </c>
      <c r="H5" s="21" t="s">
        <v>1</v>
      </c>
      <c r="I5" s="21"/>
      <c r="J5" s="23">
        <f t="shared" ref="J5:J25" si="13">IF(E5="N",C5+D5/60,-(C5+D5/60))</f>
        <v>59.752816666666668</v>
      </c>
      <c r="K5" s="23">
        <f t="shared" ref="K5:K25" si="14">IF(H5="E",F5+G5/60,-(F5+G5/60))</f>
        <v>-149.37926666666667</v>
      </c>
      <c r="L5" s="24">
        <f t="shared" ref="L5:L34" si="15">RADIANS(90 - J5)</f>
        <v>0.52791293862102018</v>
      </c>
      <c r="M5" s="24">
        <f t="shared" ref="M5:M34" si="16">RADIANS(K5)</f>
        <v>-2.6071600375479482</v>
      </c>
      <c r="N5" s="25">
        <f t="shared" si="9"/>
        <v>471</v>
      </c>
      <c r="O5" s="25">
        <f t="shared" si="10"/>
        <v>254</v>
      </c>
      <c r="P5" s="26">
        <f>Assumptions!$D$3</f>
        <v>10.5</v>
      </c>
      <c r="Q5" s="27">
        <f t="shared" ref="Q5" si="17">ROUND(O5/P5,1)</f>
        <v>24.2</v>
      </c>
      <c r="R5" s="27">
        <v>0</v>
      </c>
      <c r="S5" s="27">
        <v>0</v>
      </c>
      <c r="T5" s="27">
        <v>0</v>
      </c>
      <c r="U5" s="26">
        <v>0</v>
      </c>
      <c r="V5" s="28">
        <f t="shared" ref="V5:V35" si="18">W4+U5/24</f>
        <v>43292.595833333326</v>
      </c>
      <c r="W5" s="29">
        <f t="shared" si="12"/>
        <v>43293.604166666657</v>
      </c>
      <c r="X5" s="27">
        <f>(W5-V5)*24 + (V5-W4)*24 + X4</f>
        <v>28.499999999825377</v>
      </c>
      <c r="Y5" s="27">
        <f>X5/24</f>
        <v>1.187499999992724</v>
      </c>
    </row>
    <row r="6" spans="1:29" x14ac:dyDescent="0.2">
      <c r="A6" s="1" t="s">
        <v>31</v>
      </c>
      <c r="B6" s="1"/>
      <c r="C6" s="1">
        <v>55</v>
      </c>
      <c r="D6" s="1">
        <v>31.200000000000188</v>
      </c>
      <c r="E6" s="1" t="s">
        <v>0</v>
      </c>
      <c r="F6" s="1">
        <v>149</v>
      </c>
      <c r="G6" s="1">
        <v>41.999999999999318</v>
      </c>
      <c r="H6" s="1" t="s">
        <v>1</v>
      </c>
      <c r="I6" s="1">
        <v>4393</v>
      </c>
      <c r="J6" s="2">
        <f t="shared" si="13"/>
        <v>55.52</v>
      </c>
      <c r="K6" s="2">
        <f t="shared" si="14"/>
        <v>-149.69999999999999</v>
      </c>
      <c r="L6" s="13">
        <f t="shared" si="15"/>
        <v>0.6017895260876448</v>
      </c>
      <c r="M6" s="13">
        <f t="shared" si="16"/>
        <v>-2.6127578902355113</v>
      </c>
      <c r="N6" s="8">
        <f t="shared" si="9"/>
        <v>79</v>
      </c>
      <c r="O6" s="8">
        <f t="shared" si="10"/>
        <v>43</v>
      </c>
      <c r="P6" s="9">
        <f>Assumptions!$D$3</f>
        <v>10.5</v>
      </c>
      <c r="Q6" s="11">
        <f t="shared" ref="Q6:Q10" si="19">ROUND(O6/P6,1)</f>
        <v>4.0999999999999996</v>
      </c>
      <c r="R6" s="11">
        <f>Assumptions!$D$5</f>
        <v>1</v>
      </c>
      <c r="S6" s="11">
        <f>ROUND(I6/Assumptions!$D$6/60,1)</f>
        <v>2.4</v>
      </c>
      <c r="T6" s="11">
        <f>Assumptions!$D$8</f>
        <v>1.5</v>
      </c>
      <c r="U6" s="18">
        <f>SUM(R6,S6,T6)</f>
        <v>4.9000000000000004</v>
      </c>
      <c r="V6" s="12">
        <f t="shared" si="18"/>
        <v>43293.808333333327</v>
      </c>
      <c r="W6" s="10">
        <f t="shared" si="12"/>
        <v>43293.979166666657</v>
      </c>
      <c r="X6" s="11">
        <f t="shared" ref="X6:X23" si="20">(W6-V6)*24 + (V6-W5)*24 + X5</f>
        <v>37.499999999825377</v>
      </c>
      <c r="Y6" s="11">
        <f t="shared" ref="Y6:Y23" si="21">X6/24</f>
        <v>1.562499999992724</v>
      </c>
    </row>
    <row r="7" spans="1:29" x14ac:dyDescent="0.2">
      <c r="A7" s="1" t="s">
        <v>32</v>
      </c>
      <c r="B7" s="1"/>
      <c r="C7" s="1">
        <v>54</v>
      </c>
      <c r="D7" s="1">
        <v>57.000000000000171</v>
      </c>
      <c r="E7" s="1" t="s">
        <v>0</v>
      </c>
      <c r="F7" s="1">
        <v>150</v>
      </c>
      <c r="G7" s="1">
        <v>26.999999999999318</v>
      </c>
      <c r="H7" s="1" t="s">
        <v>1</v>
      </c>
      <c r="I7" s="1">
        <v>3952</v>
      </c>
      <c r="J7" s="2">
        <f t="shared" si="13"/>
        <v>54.95</v>
      </c>
      <c r="K7" s="2">
        <f t="shared" si="14"/>
        <v>-150.44999999999999</v>
      </c>
      <c r="L7" s="13">
        <f t="shared" si="15"/>
        <v>0.61173790282401241</v>
      </c>
      <c r="M7" s="13">
        <f t="shared" si="16"/>
        <v>-2.6258478596254684</v>
      </c>
      <c r="N7" s="8">
        <f t="shared" si="9"/>
        <v>111</v>
      </c>
      <c r="O7" s="8">
        <f t="shared" si="10"/>
        <v>60</v>
      </c>
      <c r="P7" s="9">
        <f>Assumptions!$D$3</f>
        <v>10.5</v>
      </c>
      <c r="Q7" s="11">
        <f t="shared" si="19"/>
        <v>5.7</v>
      </c>
      <c r="R7" s="11">
        <f>Assumptions!$D$5</f>
        <v>1</v>
      </c>
      <c r="S7" s="11">
        <f>ROUND(I7/Assumptions!$D$6/60,1)</f>
        <v>2.2000000000000002</v>
      </c>
      <c r="T7" s="11">
        <f>Assumptions!$D$8</f>
        <v>1.5</v>
      </c>
      <c r="U7" s="18">
        <f t="shared" ref="U7:U35" si="22">SUM(R7,S7,T7)</f>
        <v>4.7</v>
      </c>
      <c r="V7" s="12">
        <f t="shared" si="18"/>
        <v>43294.174999999988</v>
      </c>
      <c r="W7" s="10">
        <f t="shared" si="12"/>
        <v>43294.412499999991</v>
      </c>
      <c r="X7" s="11">
        <f t="shared" si="20"/>
        <v>47.89999999984866</v>
      </c>
      <c r="Y7" s="11">
        <f t="shared" si="21"/>
        <v>1.9958333333270275</v>
      </c>
    </row>
    <row r="8" spans="1:29" x14ac:dyDescent="0.2">
      <c r="A8" s="1" t="s">
        <v>34</v>
      </c>
      <c r="B8" s="1"/>
      <c r="C8" s="1">
        <v>54</v>
      </c>
      <c r="D8" s="1">
        <v>23.999999999999915</v>
      </c>
      <c r="E8" s="1" t="s">
        <v>0</v>
      </c>
      <c r="F8" s="1">
        <v>151</v>
      </c>
      <c r="G8" s="1">
        <v>54.000000000000341</v>
      </c>
      <c r="H8" s="1" t="s">
        <v>1</v>
      </c>
      <c r="I8" s="1">
        <v>4090</v>
      </c>
      <c r="J8" s="2">
        <f t="shared" si="13"/>
        <v>54.4</v>
      </c>
      <c r="K8" s="2">
        <f t="shared" si="14"/>
        <v>-151.9</v>
      </c>
      <c r="L8" s="13">
        <f t="shared" si="15"/>
        <v>0.6213372137099813</v>
      </c>
      <c r="M8" s="13">
        <f t="shared" si="16"/>
        <v>-2.6511551337793868</v>
      </c>
      <c r="N8" s="8">
        <f t="shared" si="9"/>
        <v>121</v>
      </c>
      <c r="O8" s="8">
        <f t="shared" si="10"/>
        <v>65</v>
      </c>
      <c r="P8" s="9">
        <f>Assumptions!$D$3</f>
        <v>10.5</v>
      </c>
      <c r="Q8" s="11">
        <f t="shared" si="19"/>
        <v>6.2</v>
      </c>
      <c r="R8" s="11">
        <f>Assumptions!$D$5</f>
        <v>1</v>
      </c>
      <c r="S8" s="11">
        <f>ROUND(I8/Assumptions!$D$6/60,1)</f>
        <v>2.2999999999999998</v>
      </c>
      <c r="T8" s="11">
        <f>Assumptions!$D$8</f>
        <v>1.5</v>
      </c>
      <c r="U8" s="18">
        <f t="shared" si="22"/>
        <v>4.8</v>
      </c>
      <c r="V8" s="12">
        <f t="shared" si="18"/>
        <v>43294.612499999988</v>
      </c>
      <c r="W8" s="10">
        <f t="shared" si="12"/>
        <v>43294.87083333332</v>
      </c>
      <c r="X8" s="11">
        <f t="shared" si="20"/>
        <v>58.899999999732245</v>
      </c>
      <c r="Y8" s="11">
        <f t="shared" si="21"/>
        <v>2.4541666666555102</v>
      </c>
    </row>
    <row r="9" spans="1:29" x14ac:dyDescent="0.2">
      <c r="A9" s="1" t="s">
        <v>38</v>
      </c>
      <c r="B9" s="1"/>
      <c r="C9" s="1">
        <v>53</v>
      </c>
      <c r="D9" s="1">
        <v>46.800000000000068</v>
      </c>
      <c r="E9" s="1" t="s">
        <v>0</v>
      </c>
      <c r="F9" s="1">
        <v>153</v>
      </c>
      <c r="G9" s="1">
        <v>25.234800000000064</v>
      </c>
      <c r="H9" s="1" t="s">
        <v>1</v>
      </c>
      <c r="I9" s="1">
        <v>4656</v>
      </c>
      <c r="J9" s="2">
        <f t="shared" si="13"/>
        <v>53.78</v>
      </c>
      <c r="K9" s="2">
        <f t="shared" si="14"/>
        <v>-153.42058</v>
      </c>
      <c r="L9" s="13">
        <f t="shared" si="15"/>
        <v>0.63215825507234613</v>
      </c>
      <c r="M9" s="13">
        <f t="shared" si="16"/>
        <v>-2.6776942613193619</v>
      </c>
      <c r="N9" s="8">
        <f t="shared" si="9"/>
        <v>107</v>
      </c>
      <c r="O9" s="8">
        <f t="shared" si="10"/>
        <v>58</v>
      </c>
      <c r="P9" s="9">
        <f>Assumptions!$D$3</f>
        <v>10.5</v>
      </c>
      <c r="Q9" s="11">
        <f t="shared" si="19"/>
        <v>5.5</v>
      </c>
      <c r="R9" s="11">
        <f>Assumptions!$D$5</f>
        <v>1</v>
      </c>
      <c r="S9" s="11">
        <f>ROUND(I9/Assumptions!$D$6/60,1)</f>
        <v>2.6</v>
      </c>
      <c r="T9" s="11">
        <f>Assumptions!$D$8</f>
        <v>1.5</v>
      </c>
      <c r="U9" s="18">
        <f t="shared" si="22"/>
        <v>5.0999999999999996</v>
      </c>
      <c r="V9" s="12">
        <f t="shared" si="18"/>
        <v>43295.083333333321</v>
      </c>
      <c r="W9" s="10">
        <f t="shared" si="12"/>
        <v>43295.312499999985</v>
      </c>
      <c r="X9" s="11">
        <f t="shared" si="20"/>
        <v>69.499999999708962</v>
      </c>
      <c r="Y9" s="11">
        <f t="shared" si="21"/>
        <v>2.8958333333212067</v>
      </c>
    </row>
    <row r="10" spans="1:29" x14ac:dyDescent="0.2">
      <c r="A10" s="1" t="s">
        <v>43</v>
      </c>
      <c r="B10" s="1"/>
      <c r="C10" s="1">
        <v>53</v>
      </c>
      <c r="D10" s="1">
        <v>54.370799999999946</v>
      </c>
      <c r="E10" s="1" t="s">
        <v>0</v>
      </c>
      <c r="F10" s="1">
        <v>155</v>
      </c>
      <c r="G10" s="1">
        <v>2.2536000000008016</v>
      </c>
      <c r="H10" s="1" t="s">
        <v>1</v>
      </c>
      <c r="I10" s="1">
        <v>4505</v>
      </c>
      <c r="J10" s="2">
        <f t="shared" si="13"/>
        <v>53.906179999999999</v>
      </c>
      <c r="K10" s="2">
        <f t="shared" si="14"/>
        <v>-155.03756000000001</v>
      </c>
      <c r="L10" s="13">
        <f t="shared" si="15"/>
        <v>0.62995599862217977</v>
      </c>
      <c r="M10" s="13">
        <f t="shared" si="16"/>
        <v>-2.7059158862582602</v>
      </c>
      <c r="N10" s="8">
        <f t="shared" si="9"/>
        <v>77</v>
      </c>
      <c r="O10" s="8">
        <f t="shared" si="10"/>
        <v>42</v>
      </c>
      <c r="P10" s="9">
        <f>Assumptions!$D$3</f>
        <v>10.5</v>
      </c>
      <c r="Q10" s="11">
        <f t="shared" si="19"/>
        <v>4</v>
      </c>
      <c r="R10" s="11">
        <f>Assumptions!$D$5</f>
        <v>1</v>
      </c>
      <c r="S10" s="11">
        <f>ROUND(I10/Assumptions!$D$6/60,1)</f>
        <v>2.5</v>
      </c>
      <c r="T10" s="11">
        <f>Assumptions!$D$8</f>
        <v>1.5</v>
      </c>
      <c r="U10" s="18">
        <f t="shared" si="22"/>
        <v>5</v>
      </c>
      <c r="V10" s="12">
        <f t="shared" si="18"/>
        <v>43295.520833333321</v>
      </c>
      <c r="W10" s="10">
        <f t="shared" si="12"/>
        <v>43295.687499999985</v>
      </c>
      <c r="X10" s="11">
        <f t="shared" si="20"/>
        <v>78.499999999708962</v>
      </c>
      <c r="Y10" s="11">
        <f t="shared" si="21"/>
        <v>3.2708333333212067</v>
      </c>
    </row>
    <row r="11" spans="1:29" x14ac:dyDescent="0.2">
      <c r="A11" s="1" t="s">
        <v>44</v>
      </c>
      <c r="B11" s="1"/>
      <c r="C11" s="1">
        <v>53</v>
      </c>
      <c r="D11" s="1">
        <v>22.815599999999989</v>
      </c>
      <c r="E11" s="1" t="s">
        <v>0</v>
      </c>
      <c r="F11" s="1">
        <v>155</v>
      </c>
      <c r="G11" s="1">
        <v>48.441000000000827</v>
      </c>
      <c r="H11" s="1" t="s">
        <v>1</v>
      </c>
      <c r="I11" s="1">
        <v>4482</v>
      </c>
      <c r="J11" s="2">
        <f t="shared" si="13"/>
        <v>53.38026</v>
      </c>
      <c r="K11" s="2">
        <f t="shared" si="14"/>
        <v>-155.80735000000001</v>
      </c>
      <c r="L11" s="13">
        <f t="shared" si="15"/>
        <v>0.63913503422426832</v>
      </c>
      <c r="M11" s="13">
        <f t="shared" si="16"/>
        <v>-2.7193512563071871</v>
      </c>
      <c r="N11" s="8">
        <f t="shared" si="9"/>
        <v>97</v>
      </c>
      <c r="O11" s="8">
        <f t="shared" si="10"/>
        <v>52</v>
      </c>
      <c r="P11" s="9">
        <f>Assumptions!$D$3</f>
        <v>10.5</v>
      </c>
      <c r="Q11" s="11">
        <f t="shared" ref="Q11" si="23">ROUND(O11/P11,1)</f>
        <v>5</v>
      </c>
      <c r="R11" s="11">
        <f>Assumptions!$D$5</f>
        <v>1</v>
      </c>
      <c r="S11" s="11">
        <f>ROUND(I11/Assumptions!$D$6/60,1)</f>
        <v>2.5</v>
      </c>
      <c r="T11" s="11">
        <f>Assumptions!$D$8</f>
        <v>1.5</v>
      </c>
      <c r="U11" s="18">
        <f t="shared" si="22"/>
        <v>5</v>
      </c>
      <c r="V11" s="12">
        <f t="shared" si="18"/>
        <v>43295.895833333321</v>
      </c>
      <c r="W11" s="10">
        <f t="shared" si="12"/>
        <v>43296.104166666657</v>
      </c>
      <c r="X11" s="11">
        <f t="shared" si="20"/>
        <v>88.499999999825377</v>
      </c>
      <c r="Y11" s="11">
        <f t="shared" si="21"/>
        <v>3.687499999992724</v>
      </c>
    </row>
    <row r="12" spans="1:29" x14ac:dyDescent="0.2">
      <c r="A12" s="1" t="s">
        <v>45</v>
      </c>
      <c r="B12" s="1"/>
      <c r="C12" s="1">
        <v>52</v>
      </c>
      <c r="D12" s="1">
        <v>38.541599999999789</v>
      </c>
      <c r="E12" s="1" t="s">
        <v>0</v>
      </c>
      <c r="F12" s="1">
        <v>156</v>
      </c>
      <c r="G12" s="1">
        <v>34.911600000000362</v>
      </c>
      <c r="H12" s="1" t="s">
        <v>1</v>
      </c>
      <c r="I12" s="1">
        <v>4529</v>
      </c>
      <c r="J12" s="2">
        <f t="shared" ref="J12" si="24">IF(E12="N",C12+D12/60,-(C12+D12/60))</f>
        <v>52.642359999999996</v>
      </c>
      <c r="K12" s="2">
        <f t="shared" ref="K12" si="25">IF(H12="E",F12+G12/60,-(F12+G12/60))</f>
        <v>-156.58186000000001</v>
      </c>
      <c r="L12" s="13">
        <f t="shared" ref="L12" si="26">RADIANS(90 - J12)</f>
        <v>0.65201381877473452</v>
      </c>
      <c r="M12" s="13">
        <f t="shared" ref="M12" si="27">RADIANS(K12)</f>
        <v>-2.7328690058968084</v>
      </c>
      <c r="N12" s="8">
        <f t="shared" si="9"/>
        <v>94</v>
      </c>
      <c r="O12" s="8">
        <f t="shared" si="10"/>
        <v>51</v>
      </c>
      <c r="P12" s="9">
        <f>Assumptions!$D$3</f>
        <v>10.5</v>
      </c>
      <c r="Q12" s="11">
        <f t="shared" ref="Q12" si="28">ROUND(O12/P12,1)</f>
        <v>4.9000000000000004</v>
      </c>
      <c r="R12" s="11">
        <f>Assumptions!$D$5</f>
        <v>1</v>
      </c>
      <c r="S12" s="11">
        <f>ROUND(I12/Assumptions!$D$6/60,1)</f>
        <v>2.5</v>
      </c>
      <c r="T12" s="11">
        <f>Assumptions!$D$8</f>
        <v>1.5</v>
      </c>
      <c r="U12" s="18">
        <f t="shared" ref="U12" si="29">SUM(R12,S12,T12)</f>
        <v>5</v>
      </c>
      <c r="V12" s="12">
        <f t="shared" si="18"/>
        <v>43296.312499999993</v>
      </c>
      <c r="W12" s="10">
        <f t="shared" si="12"/>
        <v>43296.516666666663</v>
      </c>
      <c r="X12" s="11">
        <f t="shared" ref="X12" si="30">(W12-V12)*24 + (V12-W11)*24 + X11</f>
        <v>98.399999999965075</v>
      </c>
      <c r="Y12" s="11">
        <f t="shared" ref="Y12" si="31">X12/24</f>
        <v>4.0999999999985448</v>
      </c>
    </row>
    <row r="13" spans="1:29" x14ac:dyDescent="0.2">
      <c r="A13" s="1" t="s">
        <v>47</v>
      </c>
      <c r="B13" s="1"/>
      <c r="C13" s="1">
        <v>53</v>
      </c>
      <c r="D13" s="1">
        <v>21.71040000000005</v>
      </c>
      <c r="E13" s="1" t="s">
        <v>0</v>
      </c>
      <c r="F13" s="1">
        <v>157</v>
      </c>
      <c r="G13" s="1">
        <v>19.926600000000008</v>
      </c>
      <c r="H13" s="1" t="s">
        <v>1</v>
      </c>
      <c r="I13" s="1">
        <v>4625</v>
      </c>
      <c r="J13" s="2">
        <f t="shared" si="13"/>
        <v>53.361840000000001</v>
      </c>
      <c r="K13" s="2">
        <f t="shared" si="14"/>
        <v>-157.33211</v>
      </c>
      <c r="L13" s="13">
        <f t="shared" si="15"/>
        <v>0.63945652387248564</v>
      </c>
      <c r="M13" s="13">
        <f t="shared" si="16"/>
        <v>-2.7459633386098958</v>
      </c>
      <c r="N13" s="8">
        <f xml:space="preserve"> ROUND(ACOS( COS(L13)*COS(L14) + SIN(L13)*SIN(L14)*COS(M13-M14) ) * 6371,0)</f>
        <v>100</v>
      </c>
      <c r="O13" s="8">
        <f t="shared" si="10"/>
        <v>54</v>
      </c>
      <c r="P13" s="9">
        <f>Assumptions!$D$3</f>
        <v>10.5</v>
      </c>
      <c r="Q13" s="11">
        <f t="shared" ref="Q13:Q15" si="32">ROUND(O13/P13,1)</f>
        <v>5.0999999999999996</v>
      </c>
      <c r="R13" s="11">
        <f>Assumptions!$D$5</f>
        <v>1</v>
      </c>
      <c r="S13" s="11">
        <f>ROUND(I13/Assumptions!$D$6/60,1)</f>
        <v>2.6</v>
      </c>
      <c r="T13" s="11">
        <f>Assumptions!$D$8</f>
        <v>1.5</v>
      </c>
      <c r="U13" s="18">
        <f t="shared" ref="U13:U15" si="33">SUM(R13,S13,T13)</f>
        <v>5.0999999999999996</v>
      </c>
      <c r="V13" s="12">
        <f t="shared" si="18"/>
        <v>43296.729166666664</v>
      </c>
      <c r="W13" s="10">
        <f t="shared" si="12"/>
        <v>43296.941666666666</v>
      </c>
      <c r="X13" s="11">
        <f t="shared" ref="X13:X16" si="34">(W13-V13)*24 + (V13-W12)*24 + X12</f>
        <v>108.60000000003492</v>
      </c>
      <c r="Y13" s="11">
        <f t="shared" ref="Y13:Y15" si="35">X13/24</f>
        <v>4.5250000000014552</v>
      </c>
    </row>
    <row r="14" spans="1:29" x14ac:dyDescent="0.2">
      <c r="A14" s="1" t="s">
        <v>48</v>
      </c>
      <c r="B14" s="1"/>
      <c r="C14" s="1">
        <v>52</v>
      </c>
      <c r="D14" s="1">
        <v>35.482199999999864</v>
      </c>
      <c r="E14" s="1" t="s">
        <v>0</v>
      </c>
      <c r="F14" s="1">
        <v>158</v>
      </c>
      <c r="G14" s="1">
        <v>5.4515999999995302</v>
      </c>
      <c r="H14" s="1" t="s">
        <v>1</v>
      </c>
      <c r="I14" s="1">
        <v>4656</v>
      </c>
      <c r="J14" s="2">
        <f t="shared" si="13"/>
        <v>52.591369999999998</v>
      </c>
      <c r="K14" s="2">
        <f t="shared" si="14"/>
        <v>-158.09085999999999</v>
      </c>
      <c r="L14" s="13">
        <f t="shared" si="15"/>
        <v>0.65290376216032642</v>
      </c>
      <c r="M14" s="13">
        <f t="shared" si="16"/>
        <v>-2.7592060243094028</v>
      </c>
      <c r="N14" s="8">
        <f t="shared" si="9"/>
        <v>78</v>
      </c>
      <c r="O14" s="8">
        <f t="shared" si="10"/>
        <v>42</v>
      </c>
      <c r="P14" s="9">
        <f>Assumptions!$D$3</f>
        <v>10.5</v>
      </c>
      <c r="Q14" s="11">
        <f t="shared" si="32"/>
        <v>4</v>
      </c>
      <c r="R14" s="11">
        <f>Assumptions!$D$5</f>
        <v>1</v>
      </c>
      <c r="S14" s="11">
        <f>ROUND(I14/Assumptions!$D$6/60,1)</f>
        <v>2.6</v>
      </c>
      <c r="T14" s="11">
        <f>Assumptions!$D$8</f>
        <v>1.5</v>
      </c>
      <c r="U14" s="18">
        <f t="shared" si="33"/>
        <v>5.0999999999999996</v>
      </c>
      <c r="V14" s="12">
        <f t="shared" si="18"/>
        <v>43297.154166666667</v>
      </c>
      <c r="W14" s="10">
        <f t="shared" si="12"/>
        <v>43297.320833333331</v>
      </c>
      <c r="X14" s="11">
        <f t="shared" si="34"/>
        <v>117.70000000001164</v>
      </c>
      <c r="Y14" s="11">
        <f t="shared" si="35"/>
        <v>4.9041666666671517</v>
      </c>
    </row>
    <row r="15" spans="1:29" x14ac:dyDescent="0.2">
      <c r="A15" s="1" t="s">
        <v>49</v>
      </c>
      <c r="B15" s="1"/>
      <c r="C15" s="1">
        <v>52</v>
      </c>
      <c r="D15" s="1">
        <v>6.0000000001991793E-3</v>
      </c>
      <c r="E15" s="1" t="s">
        <v>0</v>
      </c>
      <c r="F15" s="1">
        <v>158</v>
      </c>
      <c r="G15" s="1">
        <v>41.820000000000164</v>
      </c>
      <c r="H15" s="1" t="s">
        <v>1</v>
      </c>
      <c r="I15" s="1">
        <v>4767</v>
      </c>
      <c r="J15" s="2">
        <f t="shared" ref="J15" si="36">IF(E15="N",C15+D15/60,-(C15+D15/60))</f>
        <v>52.000100000000003</v>
      </c>
      <c r="K15" s="2">
        <f t="shared" ref="K15" si="37">IF(H15="E",F15+G15/60,-(F15+G15/60))</f>
        <v>-158.697</v>
      </c>
      <c r="L15" s="13">
        <f t="shared" ref="L15" si="38">RADIANS(90 - J15)</f>
        <v>0.66322337042859314</v>
      </c>
      <c r="M15" s="13">
        <f t="shared" ref="M15" si="39">RADIANS(K15)</f>
        <v>-2.769785163037441</v>
      </c>
      <c r="N15" s="8">
        <f t="shared" si="9"/>
        <v>101</v>
      </c>
      <c r="O15" s="8">
        <f t="shared" si="10"/>
        <v>55</v>
      </c>
      <c r="P15" s="9">
        <f>Assumptions!$D$3</f>
        <v>10.5</v>
      </c>
      <c r="Q15" s="11">
        <f t="shared" si="32"/>
        <v>5.2</v>
      </c>
      <c r="R15" s="11">
        <f>Assumptions!$D$5</f>
        <v>1</v>
      </c>
      <c r="S15" s="11">
        <f>ROUND(I15/Assumptions!$D$6/60,1)</f>
        <v>2.6</v>
      </c>
      <c r="T15" s="11">
        <f>Assumptions!$D$8</f>
        <v>1.5</v>
      </c>
      <c r="U15" s="18">
        <f t="shared" si="33"/>
        <v>5.0999999999999996</v>
      </c>
      <c r="V15" s="12">
        <f t="shared" si="18"/>
        <v>43297.533333333333</v>
      </c>
      <c r="W15" s="10">
        <f t="shared" si="12"/>
        <v>43297.75</v>
      </c>
      <c r="X15" s="11">
        <f t="shared" si="34"/>
        <v>128.00000000005821</v>
      </c>
      <c r="Y15" s="11">
        <f t="shared" si="35"/>
        <v>5.3333333333357587</v>
      </c>
    </row>
    <row r="16" spans="1:29" x14ac:dyDescent="0.2">
      <c r="A16" s="1" t="s">
        <v>50</v>
      </c>
      <c r="B16" s="1"/>
      <c r="C16" s="1">
        <v>52</v>
      </c>
      <c r="D16" s="1">
        <v>54.139799999999951</v>
      </c>
      <c r="E16" s="1" t="s">
        <v>0</v>
      </c>
      <c r="F16" s="1">
        <v>158</v>
      </c>
      <c r="G16" s="1">
        <v>54.891000000000076</v>
      </c>
      <c r="H16" s="1" t="s">
        <v>1</v>
      </c>
      <c r="I16" s="1">
        <v>4727</v>
      </c>
      <c r="J16" s="2">
        <f t="shared" si="13"/>
        <v>52.902329999999999</v>
      </c>
      <c r="K16" s="2">
        <f t="shared" si="14"/>
        <v>-158.91485</v>
      </c>
      <c r="L16" s="13">
        <f t="shared" si="15"/>
        <v>0.64747648631832477</v>
      </c>
      <c r="M16" s="13">
        <f t="shared" si="16"/>
        <v>-2.7735873628129109</v>
      </c>
      <c r="N16" s="8">
        <f t="shared" si="9"/>
        <v>112</v>
      </c>
      <c r="O16" s="8">
        <f t="shared" si="10"/>
        <v>60</v>
      </c>
      <c r="P16" s="9">
        <f>Assumptions!$D$3</f>
        <v>10.5</v>
      </c>
      <c r="Q16" s="11">
        <f t="shared" ref="Q16:Q34" si="40">ROUND(O16/P16,1)</f>
        <v>5.7</v>
      </c>
      <c r="R16" s="11">
        <f>Assumptions!$D$5</f>
        <v>1</v>
      </c>
      <c r="S16" s="11">
        <f>ROUND(I16/Assumptions!$D$6/60,1)</f>
        <v>2.6</v>
      </c>
      <c r="T16" s="11">
        <f>Assumptions!$D$8</f>
        <v>1.5</v>
      </c>
      <c r="U16" s="18">
        <f t="shared" si="22"/>
        <v>5.0999999999999996</v>
      </c>
      <c r="V16" s="12">
        <f t="shared" si="18"/>
        <v>43297.962500000001</v>
      </c>
      <c r="W16" s="10">
        <f t="shared" si="12"/>
        <v>43298.200000000004</v>
      </c>
      <c r="X16" s="11">
        <f t="shared" si="34"/>
        <v>138.80000000016298</v>
      </c>
      <c r="Y16" s="11">
        <f t="shared" si="21"/>
        <v>5.7833333333401242</v>
      </c>
    </row>
    <row r="17" spans="1:25" x14ac:dyDescent="0.2">
      <c r="A17" s="1" t="s">
        <v>52</v>
      </c>
      <c r="B17" s="1"/>
      <c r="C17" s="1">
        <v>52</v>
      </c>
      <c r="D17" s="1">
        <v>9.7787999999998476</v>
      </c>
      <c r="E17" s="1" t="s">
        <v>0</v>
      </c>
      <c r="F17" s="1">
        <v>160</v>
      </c>
      <c r="G17" s="1">
        <v>1.8779999999992469</v>
      </c>
      <c r="H17" s="1" t="s">
        <v>1</v>
      </c>
      <c r="I17" s="1">
        <v>4631</v>
      </c>
      <c r="J17" s="2">
        <f t="shared" si="13"/>
        <v>52.162979999999997</v>
      </c>
      <c r="K17" s="2">
        <f t="shared" si="14"/>
        <v>-160.03129999999999</v>
      </c>
      <c r="L17" s="13">
        <f t="shared" si="15"/>
        <v>0.66038057814294493</v>
      </c>
      <c r="M17" s="13">
        <f t="shared" si="16"/>
        <v>-2.7930730912468014</v>
      </c>
      <c r="N17" s="8">
        <f t="shared" si="9"/>
        <v>84</v>
      </c>
      <c r="O17" s="8">
        <f t="shared" si="10"/>
        <v>45</v>
      </c>
      <c r="P17" s="9">
        <f>Assumptions!$D$3</f>
        <v>10.5</v>
      </c>
      <c r="Q17" s="11">
        <f t="shared" si="40"/>
        <v>4.3</v>
      </c>
      <c r="R17" s="11">
        <f>Assumptions!$D$5</f>
        <v>1</v>
      </c>
      <c r="S17" s="11">
        <f>ROUND(I17/Assumptions!$D$6/60,1)</f>
        <v>2.6</v>
      </c>
      <c r="T17" s="11">
        <f>Assumptions!$D$8</f>
        <v>1.5</v>
      </c>
      <c r="U17" s="18">
        <f t="shared" si="22"/>
        <v>5.0999999999999996</v>
      </c>
      <c r="V17" s="12">
        <f t="shared" si="18"/>
        <v>43298.412500000006</v>
      </c>
      <c r="W17" s="10">
        <f t="shared" si="12"/>
        <v>43298.591666666674</v>
      </c>
      <c r="X17" s="11">
        <f t="shared" si="20"/>
        <v>148.20000000024447</v>
      </c>
      <c r="Y17" s="11">
        <f t="shared" si="21"/>
        <v>6.1750000000101863</v>
      </c>
    </row>
    <row r="18" spans="1:25" x14ac:dyDescent="0.2">
      <c r="A18" s="1" t="s">
        <v>53</v>
      </c>
      <c r="B18" s="1"/>
      <c r="C18" s="1">
        <v>52</v>
      </c>
      <c r="D18" s="1">
        <v>55.143600000000106</v>
      </c>
      <c r="E18" s="1" t="s">
        <v>0</v>
      </c>
      <c r="F18" s="1">
        <v>160</v>
      </c>
      <c r="G18" s="1">
        <v>4.6980000000007749</v>
      </c>
      <c r="H18" s="1" t="s">
        <v>1</v>
      </c>
      <c r="I18" s="1">
        <v>4701</v>
      </c>
      <c r="J18" s="2">
        <f t="shared" si="13"/>
        <v>52.919060000000002</v>
      </c>
      <c r="K18" s="2">
        <f t="shared" si="14"/>
        <v>-160.07830000000001</v>
      </c>
      <c r="L18" s="13">
        <f t="shared" si="15"/>
        <v>0.6471844927344661</v>
      </c>
      <c r="M18" s="13">
        <f t="shared" si="16"/>
        <v>-2.793893395995239</v>
      </c>
      <c r="N18" s="8">
        <f t="shared" si="9"/>
        <v>55</v>
      </c>
      <c r="O18" s="8">
        <f t="shared" si="10"/>
        <v>30</v>
      </c>
      <c r="P18" s="9">
        <f>Assumptions!$D$3</f>
        <v>10.5</v>
      </c>
      <c r="Q18" s="11">
        <f t="shared" si="40"/>
        <v>2.9</v>
      </c>
      <c r="R18" s="11">
        <f>Assumptions!$D$5</f>
        <v>1</v>
      </c>
      <c r="S18" s="11">
        <f>ROUND(I18/Assumptions!$D$6/60,1)</f>
        <v>2.6</v>
      </c>
      <c r="T18" s="11">
        <f>Assumptions!$D$8</f>
        <v>1.5</v>
      </c>
      <c r="U18" s="18">
        <f t="shared" si="22"/>
        <v>5.0999999999999996</v>
      </c>
      <c r="V18" s="12">
        <f>W17+U18/24</f>
        <v>43298.804166666676</v>
      </c>
      <c r="W18" s="10">
        <f t="shared" si="12"/>
        <v>43298.92500000001</v>
      </c>
      <c r="X18" s="11">
        <f>(W18-V18)*24 + (V18-W17)*24 + X17</f>
        <v>156.20000000030268</v>
      </c>
      <c r="Y18" s="11">
        <f t="shared" si="21"/>
        <v>6.508333333345945</v>
      </c>
    </row>
    <row r="19" spans="1:25" x14ac:dyDescent="0.2">
      <c r="A19" s="1" t="s">
        <v>51</v>
      </c>
      <c r="B19" s="1"/>
      <c r="C19" s="1">
        <v>53</v>
      </c>
      <c r="D19" s="1">
        <v>19.540200000000141</v>
      </c>
      <c r="E19" s="1" t="s">
        <v>0</v>
      </c>
      <c r="F19" s="1">
        <v>159</v>
      </c>
      <c r="G19" s="1">
        <v>36.367800000000443</v>
      </c>
      <c r="H19" s="1" t="s">
        <v>1</v>
      </c>
      <c r="I19" s="1">
        <v>4974</v>
      </c>
      <c r="J19" s="2">
        <f t="shared" si="13"/>
        <v>53.325670000000002</v>
      </c>
      <c r="K19" s="2">
        <f t="shared" si="14"/>
        <v>-159.60613000000001</v>
      </c>
      <c r="L19" s="13">
        <f t="shared" si="15"/>
        <v>0.64008780946293198</v>
      </c>
      <c r="M19" s="13">
        <f t="shared" si="16"/>
        <v>-2.7856524748660974</v>
      </c>
      <c r="N19" s="8">
        <f t="shared" si="9"/>
        <v>70</v>
      </c>
      <c r="O19" s="8">
        <f t="shared" si="10"/>
        <v>38</v>
      </c>
      <c r="P19" s="9">
        <f>Assumptions!$D$3</f>
        <v>10.5</v>
      </c>
      <c r="Q19" s="11">
        <f t="shared" si="40"/>
        <v>3.6</v>
      </c>
      <c r="R19" s="11">
        <f>Assumptions!$D$5</f>
        <v>1</v>
      </c>
      <c r="S19" s="11">
        <f>ROUND(I19/Assumptions!$D$6/60,1)</f>
        <v>2.8</v>
      </c>
      <c r="T19" s="11">
        <f>Assumptions!$D$8</f>
        <v>1.5</v>
      </c>
      <c r="U19" s="18">
        <f t="shared" si="22"/>
        <v>5.3</v>
      </c>
      <c r="V19" s="12">
        <f t="shared" si="18"/>
        <v>43299.145833333343</v>
      </c>
      <c r="W19" s="10">
        <f t="shared" si="12"/>
        <v>43299.295833333344</v>
      </c>
      <c r="X19" s="11">
        <f t="shared" si="20"/>
        <v>165.10000000032596</v>
      </c>
      <c r="Y19" s="11">
        <f t="shared" si="21"/>
        <v>6.8791666666802485</v>
      </c>
    </row>
    <row r="20" spans="1:25" x14ac:dyDescent="0.2">
      <c r="A20" s="1" t="s">
        <v>54</v>
      </c>
      <c r="B20" s="1"/>
      <c r="C20" s="1">
        <v>53</v>
      </c>
      <c r="D20" s="1">
        <v>46.99799999999982</v>
      </c>
      <c r="E20" s="1" t="s">
        <v>0</v>
      </c>
      <c r="F20" s="1">
        <v>160</v>
      </c>
      <c r="G20" s="1">
        <v>19.979999999999905</v>
      </c>
      <c r="H20" s="1" t="s">
        <v>1</v>
      </c>
      <c r="I20" s="1">
        <v>3933</v>
      </c>
      <c r="J20" s="2">
        <f t="shared" si="13"/>
        <v>53.783299999999997</v>
      </c>
      <c r="K20" s="2">
        <f t="shared" si="14"/>
        <v>-160.333</v>
      </c>
      <c r="L20" s="13">
        <f t="shared" si="15"/>
        <v>0.6321006592070304</v>
      </c>
      <c r="M20" s="13">
        <f t="shared" si="16"/>
        <v>-2.7983387496000685</v>
      </c>
      <c r="N20" s="8">
        <f t="shared" si="9"/>
        <v>44</v>
      </c>
      <c r="O20" s="8">
        <f t="shared" si="10"/>
        <v>24</v>
      </c>
      <c r="P20" s="9">
        <f>Assumptions!$D$3</f>
        <v>10.5</v>
      </c>
      <c r="Q20" s="11">
        <f t="shared" si="40"/>
        <v>2.2999999999999998</v>
      </c>
      <c r="R20" s="11">
        <f>Assumptions!$D$5</f>
        <v>1</v>
      </c>
      <c r="S20" s="11">
        <f>ROUND(I20/Assumptions!$D$6/60,1)</f>
        <v>2.2000000000000002</v>
      </c>
      <c r="T20" s="11">
        <f>Assumptions!$D$8</f>
        <v>1.5</v>
      </c>
      <c r="U20" s="18">
        <f t="shared" si="22"/>
        <v>4.7</v>
      </c>
      <c r="V20" s="12">
        <f t="shared" si="18"/>
        <v>43299.491666666676</v>
      </c>
      <c r="W20" s="10">
        <f t="shared" si="12"/>
        <v>43299.587500000009</v>
      </c>
      <c r="X20" s="11">
        <f t="shared" si="20"/>
        <v>172.10000000026776</v>
      </c>
      <c r="Y20" s="11">
        <f t="shared" si="21"/>
        <v>7.1708333333444898</v>
      </c>
    </row>
    <row r="21" spans="1:25" x14ac:dyDescent="0.2">
      <c r="A21" s="1" t="s">
        <v>60</v>
      </c>
      <c r="B21" s="1"/>
      <c r="C21" s="1">
        <v>54</v>
      </c>
      <c r="D21" s="1">
        <v>10.799999999999983</v>
      </c>
      <c r="E21" s="1" t="s">
        <v>0</v>
      </c>
      <c r="F21" s="1">
        <v>160</v>
      </c>
      <c r="G21" s="1">
        <v>15</v>
      </c>
      <c r="H21" s="1" t="s">
        <v>1</v>
      </c>
      <c r="I21" s="1">
        <v>1211</v>
      </c>
      <c r="J21" s="2">
        <f t="shared" si="13"/>
        <v>54.18</v>
      </c>
      <c r="K21" s="2">
        <f t="shared" si="14"/>
        <v>-160.25</v>
      </c>
      <c r="L21" s="13">
        <f t="shared" si="15"/>
        <v>0.6251769380643688</v>
      </c>
      <c r="M21" s="13">
        <f t="shared" si="16"/>
        <v>-2.7968901263209132</v>
      </c>
      <c r="N21" s="8">
        <f t="shared" si="9"/>
        <v>60</v>
      </c>
      <c r="O21" s="8">
        <f t="shared" si="10"/>
        <v>32</v>
      </c>
      <c r="P21" s="9">
        <f>Assumptions!$D$3</f>
        <v>10.5</v>
      </c>
      <c r="Q21" s="11">
        <f t="shared" si="40"/>
        <v>3</v>
      </c>
      <c r="R21" s="11">
        <f>Assumptions!$D$5</f>
        <v>1</v>
      </c>
      <c r="S21" s="11">
        <f>ROUND(I21/Assumptions!$D$6/60,1)</f>
        <v>0.7</v>
      </c>
      <c r="T21" s="11">
        <f>Assumptions!$D$8</f>
        <v>1.5</v>
      </c>
      <c r="U21" s="18">
        <f t="shared" si="22"/>
        <v>3.2</v>
      </c>
      <c r="V21" s="12">
        <f t="shared" si="18"/>
        <v>43299.72083333334</v>
      </c>
      <c r="W21" s="10">
        <f t="shared" si="12"/>
        <v>43299.84583333334</v>
      </c>
      <c r="X21" s="11">
        <f t="shared" si="20"/>
        <v>178.30000000022119</v>
      </c>
      <c r="Y21" s="11">
        <f t="shared" si="21"/>
        <v>7.4291666666758829</v>
      </c>
    </row>
    <row r="22" spans="1:25" x14ac:dyDescent="0.2">
      <c r="A22" s="1" t="s">
        <v>37</v>
      </c>
      <c r="B22" s="1"/>
      <c r="C22" s="1">
        <v>54</v>
      </c>
      <c r="D22" s="1">
        <v>2.9999999999998295</v>
      </c>
      <c r="E22" s="1" t="s">
        <v>0</v>
      </c>
      <c r="F22" s="1">
        <v>159</v>
      </c>
      <c r="G22" s="1">
        <v>20.999999999999659</v>
      </c>
      <c r="H22" s="1" t="s">
        <v>1</v>
      </c>
      <c r="I22" s="1">
        <v>2573</v>
      </c>
      <c r="J22" s="2">
        <f t="shared" si="13"/>
        <v>54.05</v>
      </c>
      <c r="K22" s="2">
        <f t="shared" si="14"/>
        <v>-159.35</v>
      </c>
      <c r="L22" s="13">
        <f t="shared" si="15"/>
        <v>0.62744586609196151</v>
      </c>
      <c r="M22" s="13">
        <f t="shared" si="16"/>
        <v>-2.7811821630529638</v>
      </c>
      <c r="N22" s="8">
        <f t="shared" si="9"/>
        <v>35</v>
      </c>
      <c r="O22" s="8">
        <f t="shared" si="10"/>
        <v>19</v>
      </c>
      <c r="P22" s="9">
        <f>Assumptions!$D$3</f>
        <v>10.5</v>
      </c>
      <c r="Q22" s="11">
        <f t="shared" si="40"/>
        <v>1.8</v>
      </c>
      <c r="R22" s="11">
        <f>Assumptions!$D$5</f>
        <v>1</v>
      </c>
      <c r="S22" s="11">
        <f>ROUND(I22/Assumptions!$D$6/60,1)</f>
        <v>1.4</v>
      </c>
      <c r="T22" s="11">
        <f>Assumptions!$D$8</f>
        <v>1.5</v>
      </c>
      <c r="U22" s="18">
        <f t="shared" si="22"/>
        <v>3.9</v>
      </c>
      <c r="V22" s="12">
        <f t="shared" si="18"/>
        <v>43300.008333333339</v>
      </c>
      <c r="W22" s="10">
        <f t="shared" si="12"/>
        <v>43300.083333333336</v>
      </c>
      <c r="X22" s="11">
        <f t="shared" si="20"/>
        <v>184.00000000011642</v>
      </c>
      <c r="Y22" s="11">
        <f t="shared" si="21"/>
        <v>7.6666666666715173</v>
      </c>
    </row>
    <row r="23" spans="1:25" x14ac:dyDescent="0.2">
      <c r="A23" s="1" t="s">
        <v>59</v>
      </c>
      <c r="B23" s="1"/>
      <c r="C23" s="1">
        <v>54</v>
      </c>
      <c r="D23" s="1">
        <v>21.599999999999966</v>
      </c>
      <c r="E23" s="1" t="s">
        <v>0</v>
      </c>
      <c r="F23" s="1">
        <v>159</v>
      </c>
      <c r="G23" s="1">
        <v>19.515000000000668</v>
      </c>
      <c r="H23" s="1" t="s">
        <v>1</v>
      </c>
      <c r="I23" s="1">
        <v>1219</v>
      </c>
      <c r="J23" s="2">
        <f t="shared" si="13"/>
        <v>54.36</v>
      </c>
      <c r="K23" s="2">
        <f t="shared" si="14"/>
        <v>-159.32525000000001</v>
      </c>
      <c r="L23" s="13">
        <f t="shared" si="15"/>
        <v>0.62203534541077909</v>
      </c>
      <c r="M23" s="13">
        <f t="shared" si="16"/>
        <v>-2.7807501940630956</v>
      </c>
      <c r="N23" s="8">
        <f t="shared" si="9"/>
        <v>53</v>
      </c>
      <c r="O23" s="8">
        <f t="shared" si="10"/>
        <v>29</v>
      </c>
      <c r="P23" s="9">
        <f>Assumptions!$D$3</f>
        <v>10.5</v>
      </c>
      <c r="Q23" s="11">
        <f t="shared" si="40"/>
        <v>2.8</v>
      </c>
      <c r="R23" s="11">
        <f>Assumptions!$D$5</f>
        <v>1</v>
      </c>
      <c r="S23" s="11">
        <f>ROUND(I23/Assumptions!$D$6/60,1)</f>
        <v>0.7</v>
      </c>
      <c r="T23" s="11">
        <f>Assumptions!$D$8</f>
        <v>1.5</v>
      </c>
      <c r="U23" s="18">
        <f t="shared" si="22"/>
        <v>3.2</v>
      </c>
      <c r="V23" s="12">
        <f t="shared" si="18"/>
        <v>43300.216666666667</v>
      </c>
      <c r="W23" s="10">
        <f t="shared" si="12"/>
        <v>43300.333333333336</v>
      </c>
      <c r="X23" s="11">
        <f t="shared" si="20"/>
        <v>190.00000000011642</v>
      </c>
      <c r="Y23" s="11">
        <f t="shared" si="21"/>
        <v>7.9166666666715173</v>
      </c>
    </row>
    <row r="24" spans="1:25" x14ac:dyDescent="0.2">
      <c r="A24" s="1" t="s">
        <v>58</v>
      </c>
      <c r="B24" s="19"/>
      <c r="C24" s="1">
        <v>54</v>
      </c>
      <c r="D24" s="19">
        <v>25.200000000000102</v>
      </c>
      <c r="E24" s="1" t="s">
        <v>0</v>
      </c>
      <c r="F24" s="1">
        <v>158</v>
      </c>
      <c r="G24" s="1">
        <v>30.599999999999454</v>
      </c>
      <c r="H24" s="1" t="s">
        <v>1</v>
      </c>
      <c r="I24" s="1">
        <v>2013</v>
      </c>
      <c r="J24" s="2">
        <f t="shared" ref="J24" si="41">IF(E24="N",C24+D24/60,-(C24+D24/60))</f>
        <v>54.42</v>
      </c>
      <c r="K24" s="2">
        <f t="shared" ref="K24" si="42">IF(H24="E",F24+G24/60,-(F24+G24/60))</f>
        <v>-158.51</v>
      </c>
      <c r="L24" s="13">
        <f t="shared" ref="L24" si="43">RADIANS(90 - J24)</f>
        <v>0.62098814785958245</v>
      </c>
      <c r="M24" s="13">
        <f t="shared" ref="M24" si="44">RADIANS(K24)</f>
        <v>-2.7665213973362115</v>
      </c>
      <c r="N24" s="8">
        <f t="shared" si="9"/>
        <v>109</v>
      </c>
      <c r="O24" s="8">
        <f t="shared" si="10"/>
        <v>59</v>
      </c>
      <c r="P24" s="9">
        <f>Assumptions!$D$3</f>
        <v>10.5</v>
      </c>
      <c r="Q24" s="11">
        <f t="shared" ref="Q24" si="45">ROUND(O24/P24,1)</f>
        <v>5.6</v>
      </c>
      <c r="R24" s="11">
        <f>Assumptions!$D$5</f>
        <v>1</v>
      </c>
      <c r="S24" s="11">
        <f>ROUND(I24/Assumptions!$D$6/60,1)</f>
        <v>1.1000000000000001</v>
      </c>
      <c r="T24" s="11">
        <f>Assumptions!$D$8</f>
        <v>1.5</v>
      </c>
      <c r="U24" s="18">
        <f t="shared" ref="U24" si="46">SUM(R24,S24,T24)</f>
        <v>3.6</v>
      </c>
      <c r="V24" s="12">
        <f t="shared" si="18"/>
        <v>43300.483333333337</v>
      </c>
      <c r="W24" s="10">
        <f t="shared" si="12"/>
        <v>43300.716666666667</v>
      </c>
      <c r="X24" s="11">
        <f t="shared" ref="X24:X35" si="47">(W24-V24)*24 + (V24-W23)*24 + X23</f>
        <v>199.20000000006985</v>
      </c>
      <c r="Y24" s="11">
        <f t="shared" ref="Y24:Y35" si="48">X24/24</f>
        <v>8.3000000000029104</v>
      </c>
    </row>
    <row r="25" spans="1:25" x14ac:dyDescent="0.2">
      <c r="A25" s="1" t="s">
        <v>46</v>
      </c>
      <c r="B25" s="1"/>
      <c r="C25" s="1">
        <v>54</v>
      </c>
      <c r="D25" s="1">
        <v>38.999999999999915</v>
      </c>
      <c r="E25" s="1" t="s">
        <v>0</v>
      </c>
      <c r="F25" s="1">
        <v>156</v>
      </c>
      <c r="G25" s="1">
        <v>52.5</v>
      </c>
      <c r="H25" s="1" t="s">
        <v>1</v>
      </c>
      <c r="I25" s="1">
        <v>2070</v>
      </c>
      <c r="J25" s="2">
        <f t="shared" si="13"/>
        <v>54.65</v>
      </c>
      <c r="K25" s="2">
        <f t="shared" si="14"/>
        <v>-156.875</v>
      </c>
      <c r="L25" s="13">
        <f t="shared" si="15"/>
        <v>0.61697389057999552</v>
      </c>
      <c r="M25" s="13">
        <f t="shared" si="16"/>
        <v>-2.7379852640661047</v>
      </c>
      <c r="N25" s="8">
        <f t="shared" si="9"/>
        <v>157</v>
      </c>
      <c r="O25" s="8">
        <f t="shared" si="10"/>
        <v>85</v>
      </c>
      <c r="P25" s="9">
        <f>Assumptions!$D$3</f>
        <v>10.5</v>
      </c>
      <c r="Q25" s="11">
        <f t="shared" ref="Q25" si="49">ROUND(O25/P25,1)</f>
        <v>8.1</v>
      </c>
      <c r="R25" s="11">
        <f>Assumptions!$D$5</f>
        <v>1</v>
      </c>
      <c r="S25" s="11">
        <f>ROUND(I25/Assumptions!$D$6/60,1)</f>
        <v>1.2</v>
      </c>
      <c r="T25" s="11">
        <f>Assumptions!$D$8</f>
        <v>1.5</v>
      </c>
      <c r="U25" s="18">
        <f t="shared" si="22"/>
        <v>3.7</v>
      </c>
      <c r="V25" s="12">
        <f t="shared" si="18"/>
        <v>43300.870833333334</v>
      </c>
      <c r="W25" s="10">
        <f t="shared" si="12"/>
        <v>43301.208333333336</v>
      </c>
      <c r="X25" s="11">
        <f t="shared" si="47"/>
        <v>211.00000000011642</v>
      </c>
      <c r="Y25" s="11">
        <f t="shared" si="48"/>
        <v>8.7916666666715173</v>
      </c>
    </row>
    <row r="26" spans="1:25" x14ac:dyDescent="0.2">
      <c r="A26" s="1" t="s">
        <v>42</v>
      </c>
      <c r="B26" s="1"/>
      <c r="C26" s="1">
        <v>54</v>
      </c>
      <c r="D26" s="1">
        <v>43.875599999999935</v>
      </c>
      <c r="E26" s="1" t="s">
        <v>0</v>
      </c>
      <c r="F26" s="1">
        <v>154</v>
      </c>
      <c r="G26" s="1">
        <v>26.16359999999986</v>
      </c>
      <c r="H26" s="1" t="s">
        <v>1</v>
      </c>
      <c r="I26" s="1">
        <v>5057</v>
      </c>
      <c r="J26" s="2">
        <f>IF(E26="N",C26+D26/60,-(C26+D26/60))</f>
        <v>54.731259999999999</v>
      </c>
      <c r="K26" s="2">
        <f>IF(H26="E",F26+G26/60,-(F26+G26/60))</f>
        <v>-154.43606</v>
      </c>
      <c r="L26" s="13">
        <f t="shared" si="15"/>
        <v>0.61555563602982488</v>
      </c>
      <c r="M26" s="13">
        <f t="shared" si="16"/>
        <v>-2.695417730807514</v>
      </c>
      <c r="N26" s="8">
        <f t="shared" si="9"/>
        <v>56</v>
      </c>
      <c r="O26" s="8">
        <f t="shared" si="10"/>
        <v>30</v>
      </c>
      <c r="P26" s="9">
        <f>Assumptions!$D$3</f>
        <v>10.5</v>
      </c>
      <c r="Q26" s="11">
        <f t="shared" si="40"/>
        <v>2.9</v>
      </c>
      <c r="R26" s="11">
        <f>Assumptions!$D$5</f>
        <v>1</v>
      </c>
      <c r="S26" s="11">
        <f>ROUND(I26/Assumptions!$D$6/60,1)</f>
        <v>2.8</v>
      </c>
      <c r="T26" s="11">
        <f>Assumptions!$D$8</f>
        <v>1.5</v>
      </c>
      <c r="U26" s="18">
        <f t="shared" si="22"/>
        <v>5.3</v>
      </c>
      <c r="V26" s="12">
        <f t="shared" si="18"/>
        <v>43301.429166666669</v>
      </c>
      <c r="W26" s="10">
        <f t="shared" si="12"/>
        <v>43301.55</v>
      </c>
      <c r="X26" s="11">
        <f t="shared" si="47"/>
        <v>219.20000000012806</v>
      </c>
      <c r="Y26" s="11">
        <f t="shared" si="48"/>
        <v>9.133333333338669</v>
      </c>
    </row>
    <row r="27" spans="1:25" x14ac:dyDescent="0.2">
      <c r="A27" s="1" t="s">
        <v>41</v>
      </c>
      <c r="B27" s="1"/>
      <c r="C27" s="1">
        <v>55</v>
      </c>
      <c r="D27" s="1">
        <v>13.979999999999819</v>
      </c>
      <c r="E27" s="1" t="s">
        <v>0</v>
      </c>
      <c r="F27" s="1">
        <v>154</v>
      </c>
      <c r="G27" s="1">
        <v>19.199999999999591</v>
      </c>
      <c r="H27" s="1" t="s">
        <v>1</v>
      </c>
      <c r="I27" s="1">
        <v>4147</v>
      </c>
      <c r="J27" s="2">
        <f t="shared" ref="J27:J34" si="50">IF(E27="N",C27+D27/60,-(C27+D27/60))</f>
        <v>55.232999999999997</v>
      </c>
      <c r="K27" s="2">
        <f t="shared" ref="K27:K34" si="51">IF(H27="E",F27+G27/60,-(F27+G27/60))</f>
        <v>-154.32</v>
      </c>
      <c r="L27" s="13">
        <f t="shared" si="15"/>
        <v>0.60679862104086857</v>
      </c>
      <c r="M27" s="13">
        <f t="shared" si="16"/>
        <v>-2.6933921016776492</v>
      </c>
      <c r="N27" s="8">
        <f t="shared" si="9"/>
        <v>52</v>
      </c>
      <c r="O27" s="8">
        <f t="shared" si="10"/>
        <v>28</v>
      </c>
      <c r="P27" s="9">
        <f>Assumptions!$D$3</f>
        <v>10.5</v>
      </c>
      <c r="Q27" s="11">
        <f t="shared" si="40"/>
        <v>2.7</v>
      </c>
      <c r="R27" s="11">
        <f>Assumptions!$D$5</f>
        <v>1</v>
      </c>
      <c r="S27" s="11">
        <f>ROUND(I27/Assumptions!$D$6/60,1)</f>
        <v>2.2999999999999998</v>
      </c>
      <c r="T27" s="11">
        <f>Assumptions!$D$8</f>
        <v>1.5</v>
      </c>
      <c r="U27" s="18">
        <f t="shared" si="22"/>
        <v>4.8</v>
      </c>
      <c r="V27" s="12">
        <f t="shared" si="18"/>
        <v>43301.75</v>
      </c>
      <c r="W27" s="10">
        <f t="shared" si="12"/>
        <v>43301.862500000003</v>
      </c>
      <c r="X27" s="11">
        <f t="shared" si="47"/>
        <v>226.70000000012806</v>
      </c>
      <c r="Y27" s="11">
        <f t="shared" si="48"/>
        <v>9.445833333338669</v>
      </c>
    </row>
    <row r="28" spans="1:25" x14ac:dyDescent="0.2">
      <c r="A28" s="1" t="s">
        <v>39</v>
      </c>
      <c r="B28" s="1"/>
      <c r="C28" s="1">
        <v>55</v>
      </c>
      <c r="D28" s="1">
        <v>28.019999999999925</v>
      </c>
      <c r="E28" s="1" t="s">
        <v>0</v>
      </c>
      <c r="F28" s="1">
        <v>153</v>
      </c>
      <c r="G28" s="1">
        <v>35.999999999999659</v>
      </c>
      <c r="H28" s="1" t="s">
        <v>1</v>
      </c>
      <c r="I28" s="1">
        <v>4347</v>
      </c>
      <c r="J28" s="2">
        <f t="shared" si="50"/>
        <v>55.466999999999999</v>
      </c>
      <c r="K28" s="2">
        <f t="shared" si="51"/>
        <v>-153.6</v>
      </c>
      <c r="L28" s="13">
        <f t="shared" si="15"/>
        <v>0.60271455059120183</v>
      </c>
      <c r="M28" s="13">
        <f t="shared" si="16"/>
        <v>-2.6808257310632899</v>
      </c>
      <c r="N28" s="8">
        <f t="shared" si="9"/>
        <v>33</v>
      </c>
      <c r="O28" s="8">
        <f t="shared" si="10"/>
        <v>18</v>
      </c>
      <c r="P28" s="9">
        <f>Assumptions!$D$3</f>
        <v>10.5</v>
      </c>
      <c r="Q28" s="11">
        <f t="shared" si="40"/>
        <v>1.7</v>
      </c>
      <c r="R28" s="11">
        <f>Assumptions!$D$5</f>
        <v>1</v>
      </c>
      <c r="S28" s="11">
        <f>ROUND(I28/Assumptions!$D$6/60,1)</f>
        <v>2.4</v>
      </c>
      <c r="T28" s="11">
        <f>Assumptions!$D$8</f>
        <v>1.5</v>
      </c>
      <c r="U28" s="18">
        <f t="shared" si="22"/>
        <v>4.9000000000000004</v>
      </c>
      <c r="V28" s="12">
        <f t="shared" si="18"/>
        <v>43302.066666666673</v>
      </c>
      <c r="W28" s="10">
        <f t="shared" si="12"/>
        <v>43302.137500000004</v>
      </c>
      <c r="X28" s="11">
        <f t="shared" si="47"/>
        <v>233.30000000016298</v>
      </c>
      <c r="Y28" s="11">
        <f t="shared" si="48"/>
        <v>9.7208333333401242</v>
      </c>
    </row>
    <row r="29" spans="1:25" x14ac:dyDescent="0.2">
      <c r="A29" s="1" t="s">
        <v>40</v>
      </c>
      <c r="B29" s="1"/>
      <c r="C29" s="1">
        <v>55</v>
      </c>
      <c r="D29" s="1">
        <v>45.599999999999881</v>
      </c>
      <c r="E29" s="1" t="s">
        <v>0</v>
      </c>
      <c r="F29" s="1">
        <v>153</v>
      </c>
      <c r="G29" s="1">
        <v>39.599999999999795</v>
      </c>
      <c r="H29" s="1" t="s">
        <v>1</v>
      </c>
      <c r="I29" s="1">
        <v>1286</v>
      </c>
      <c r="J29" s="2">
        <f t="shared" si="50"/>
        <v>55.76</v>
      </c>
      <c r="K29" s="2">
        <f t="shared" si="51"/>
        <v>-153.66</v>
      </c>
      <c r="L29" s="13">
        <f t="shared" si="15"/>
        <v>0.59760073588285845</v>
      </c>
      <c r="M29" s="13">
        <f t="shared" si="16"/>
        <v>-2.6818729286144869</v>
      </c>
      <c r="N29" s="8">
        <f t="shared" si="9"/>
        <v>57</v>
      </c>
      <c r="O29" s="8">
        <f t="shared" si="10"/>
        <v>31</v>
      </c>
      <c r="P29" s="9">
        <f>Assumptions!$D$3</f>
        <v>10.5</v>
      </c>
      <c r="Q29" s="11">
        <f t="shared" si="40"/>
        <v>3</v>
      </c>
      <c r="R29" s="11">
        <f>Assumptions!$D$5</f>
        <v>1</v>
      </c>
      <c r="S29" s="11">
        <f>ROUND(I29/Assumptions!$D$6/60,1)</f>
        <v>0.7</v>
      </c>
      <c r="T29" s="11">
        <f>Assumptions!$D$8</f>
        <v>1.5</v>
      </c>
      <c r="U29" s="18">
        <f t="shared" si="22"/>
        <v>3.2</v>
      </c>
      <c r="V29" s="12">
        <f t="shared" si="18"/>
        <v>43302.270833333336</v>
      </c>
      <c r="W29" s="10">
        <f t="shared" si="12"/>
        <v>43302.395833333336</v>
      </c>
      <c r="X29" s="11">
        <f t="shared" si="47"/>
        <v>239.50000000011642</v>
      </c>
      <c r="Y29" s="11">
        <f t="shared" si="48"/>
        <v>9.9791666666715173</v>
      </c>
    </row>
    <row r="30" spans="1:25" x14ac:dyDescent="0.2">
      <c r="A30" s="1" t="s">
        <v>56</v>
      </c>
      <c r="B30" s="1"/>
      <c r="C30" s="1">
        <v>56</v>
      </c>
      <c r="D30" s="1">
        <v>8.9999999999999147</v>
      </c>
      <c r="E30" s="1" t="s">
        <v>0</v>
      </c>
      <c r="F30" s="1">
        <v>153</v>
      </c>
      <c r="G30" s="1">
        <v>4.4999999999993179</v>
      </c>
      <c r="H30" s="1" t="s">
        <v>1</v>
      </c>
      <c r="I30" s="1">
        <v>1617</v>
      </c>
      <c r="J30" s="2">
        <f t="shared" si="50"/>
        <v>56.15</v>
      </c>
      <c r="K30" s="2">
        <f t="shared" si="51"/>
        <v>-153.07499999999999</v>
      </c>
      <c r="L30" s="13">
        <f t="shared" si="15"/>
        <v>0.59079395180008054</v>
      </c>
      <c r="M30" s="13">
        <f t="shared" si="16"/>
        <v>-2.6716627524903198</v>
      </c>
      <c r="N30" s="8">
        <f t="shared" si="9"/>
        <v>34</v>
      </c>
      <c r="O30" s="8">
        <f t="shared" si="10"/>
        <v>18</v>
      </c>
      <c r="P30" s="9">
        <f>Assumptions!$D$3</f>
        <v>10.5</v>
      </c>
      <c r="Q30" s="11">
        <f t="shared" si="40"/>
        <v>1.7</v>
      </c>
      <c r="R30" s="11">
        <f>Assumptions!$D$5</f>
        <v>1</v>
      </c>
      <c r="S30" s="11">
        <f>ROUND(I30/Assumptions!$D$6/60,1)</f>
        <v>0.9</v>
      </c>
      <c r="T30" s="11">
        <f>Assumptions!$D$8</f>
        <v>1.5</v>
      </c>
      <c r="U30" s="18">
        <f t="shared" si="22"/>
        <v>3.4</v>
      </c>
      <c r="V30" s="12">
        <f t="shared" si="18"/>
        <v>43302.537500000006</v>
      </c>
      <c r="W30" s="10">
        <f t="shared" si="12"/>
        <v>43302.608333333337</v>
      </c>
      <c r="X30" s="11">
        <f t="shared" si="47"/>
        <v>244.60000000015134</v>
      </c>
      <c r="Y30" s="11">
        <f t="shared" si="48"/>
        <v>10.191666666672972</v>
      </c>
    </row>
    <row r="31" spans="1:25" x14ac:dyDescent="0.2">
      <c r="A31" s="1" t="s">
        <v>36</v>
      </c>
      <c r="B31" s="1"/>
      <c r="C31" s="1">
        <v>55</v>
      </c>
      <c r="D31" s="1">
        <v>53.999999999999915</v>
      </c>
      <c r="E31" s="1" t="s">
        <v>0</v>
      </c>
      <c r="F31" s="1">
        <v>152</v>
      </c>
      <c r="G31" s="1">
        <v>45</v>
      </c>
      <c r="H31" s="1" t="s">
        <v>1</v>
      </c>
      <c r="I31" s="1">
        <v>4354</v>
      </c>
      <c r="J31" s="2">
        <f t="shared" si="50"/>
        <v>55.9</v>
      </c>
      <c r="K31" s="2">
        <f t="shared" si="51"/>
        <v>-152.75</v>
      </c>
      <c r="L31" s="13">
        <f t="shared" si="15"/>
        <v>0.59515727493006643</v>
      </c>
      <c r="M31" s="13">
        <f t="shared" si="16"/>
        <v>-2.6659904324213386</v>
      </c>
      <c r="N31" s="8">
        <f t="shared" si="9"/>
        <v>55</v>
      </c>
      <c r="O31" s="8">
        <f t="shared" si="10"/>
        <v>30</v>
      </c>
      <c r="P31" s="9">
        <f>Assumptions!$D$3</f>
        <v>10.5</v>
      </c>
      <c r="Q31" s="11">
        <f t="shared" si="40"/>
        <v>2.9</v>
      </c>
      <c r="R31" s="11">
        <f>Assumptions!$D$5</f>
        <v>1</v>
      </c>
      <c r="S31" s="11">
        <f>ROUND(I31/Assumptions!$D$6/60,1)</f>
        <v>2.4</v>
      </c>
      <c r="T31" s="11">
        <f>Assumptions!$D$8</f>
        <v>1.5</v>
      </c>
      <c r="U31" s="18">
        <f t="shared" si="22"/>
        <v>4.9000000000000004</v>
      </c>
      <c r="V31" s="12">
        <f t="shared" si="18"/>
        <v>43302.812500000007</v>
      </c>
      <c r="W31" s="10">
        <f t="shared" si="12"/>
        <v>43302.933333333342</v>
      </c>
      <c r="X31" s="11">
        <f t="shared" si="47"/>
        <v>252.40000000025611</v>
      </c>
      <c r="Y31" s="11">
        <f t="shared" si="48"/>
        <v>10.516666666677338</v>
      </c>
    </row>
    <row r="32" spans="1:25" x14ac:dyDescent="0.2">
      <c r="A32" s="1" t="s">
        <v>35</v>
      </c>
      <c r="B32" s="1"/>
      <c r="C32" s="1">
        <v>55</v>
      </c>
      <c r="D32" s="1">
        <v>27.124199999999945</v>
      </c>
      <c r="E32" s="1" t="s">
        <v>0</v>
      </c>
      <c r="F32" s="1">
        <v>152</v>
      </c>
      <c r="G32" s="1">
        <v>23.814599999999473</v>
      </c>
      <c r="H32" s="1" t="s">
        <v>1</v>
      </c>
      <c r="I32" s="1">
        <v>4983</v>
      </c>
      <c r="J32" s="2">
        <f t="shared" si="50"/>
        <v>55.452069999999999</v>
      </c>
      <c r="K32" s="2">
        <f t="shared" si="51"/>
        <v>-152.39690999999999</v>
      </c>
      <c r="L32" s="13">
        <f t="shared" si="15"/>
        <v>0.60297512824852462</v>
      </c>
      <c r="M32" s="13">
        <f t="shared" si="16"/>
        <v>-2.6598278493654712</v>
      </c>
      <c r="N32" s="8">
        <f t="shared" si="9"/>
        <v>95</v>
      </c>
      <c r="O32" s="8">
        <f t="shared" si="10"/>
        <v>51</v>
      </c>
      <c r="P32" s="9">
        <f>Assumptions!$D$3</f>
        <v>10.5</v>
      </c>
      <c r="Q32" s="11">
        <f t="shared" si="40"/>
        <v>4.9000000000000004</v>
      </c>
      <c r="R32" s="11">
        <f>Assumptions!$D$5</f>
        <v>1</v>
      </c>
      <c r="S32" s="11">
        <f>ROUND(I32/Assumptions!$D$6/60,1)</f>
        <v>2.8</v>
      </c>
      <c r="T32" s="11">
        <f>Assumptions!$D$8</f>
        <v>1.5</v>
      </c>
      <c r="U32" s="18">
        <f t="shared" si="22"/>
        <v>5.3</v>
      </c>
      <c r="V32" s="12">
        <f t="shared" si="18"/>
        <v>43303.154166666674</v>
      </c>
      <c r="W32" s="10">
        <f t="shared" si="12"/>
        <v>43303.358333333344</v>
      </c>
      <c r="X32" s="11">
        <f t="shared" si="47"/>
        <v>262.60000000032596</v>
      </c>
      <c r="Y32" s="11">
        <f t="shared" si="48"/>
        <v>10.941666666680248</v>
      </c>
    </row>
    <row r="33" spans="1:25" x14ac:dyDescent="0.2">
      <c r="A33" s="1" t="s">
        <v>57</v>
      </c>
      <c r="B33" s="1"/>
      <c r="C33" s="1">
        <v>56</v>
      </c>
      <c r="D33" s="1">
        <v>15</v>
      </c>
      <c r="E33" s="1" t="s">
        <v>0</v>
      </c>
      <c r="F33" s="1">
        <v>151</v>
      </c>
      <c r="G33" s="1">
        <v>49.979999999999905</v>
      </c>
      <c r="H33" s="1" t="s">
        <v>1</v>
      </c>
      <c r="I33" s="1">
        <v>4188</v>
      </c>
      <c r="J33" s="2">
        <f t="shared" si="50"/>
        <v>56.25</v>
      </c>
      <c r="K33" s="2">
        <f t="shared" si="51"/>
        <v>-151.833</v>
      </c>
      <c r="L33" s="13">
        <f t="shared" si="15"/>
        <v>0.58904862254808621</v>
      </c>
      <c r="M33" s="13">
        <f t="shared" si="16"/>
        <v>-2.6499857631805503</v>
      </c>
      <c r="N33" s="8">
        <f t="shared" si="9"/>
        <v>42</v>
      </c>
      <c r="O33" s="8">
        <f t="shared" si="10"/>
        <v>23</v>
      </c>
      <c r="P33" s="9">
        <f>Assumptions!$D$3</f>
        <v>10.5</v>
      </c>
      <c r="Q33" s="11">
        <f t="shared" si="40"/>
        <v>2.2000000000000002</v>
      </c>
      <c r="R33" s="11">
        <f>Assumptions!$D$5</f>
        <v>1</v>
      </c>
      <c r="S33" s="11">
        <f>ROUND(I33/Assumptions!$D$6/60,1)</f>
        <v>2.2999999999999998</v>
      </c>
      <c r="T33" s="11">
        <f>Assumptions!$D$8</f>
        <v>1.5</v>
      </c>
      <c r="U33" s="18">
        <f t="shared" si="22"/>
        <v>4.8</v>
      </c>
      <c r="V33" s="12">
        <f t="shared" si="18"/>
        <v>43303.558333333342</v>
      </c>
      <c r="W33" s="10">
        <f t="shared" si="12"/>
        <v>43303.650000000009</v>
      </c>
      <c r="X33" s="11">
        <f t="shared" si="47"/>
        <v>269.60000000026776</v>
      </c>
      <c r="Y33" s="11">
        <f t="shared" si="48"/>
        <v>11.23333333334449</v>
      </c>
    </row>
    <row r="34" spans="1:25" x14ac:dyDescent="0.2">
      <c r="A34" s="1" t="s">
        <v>33</v>
      </c>
      <c r="B34" s="1"/>
      <c r="C34" s="1">
        <v>56</v>
      </c>
      <c r="D34" s="1">
        <v>37.5</v>
      </c>
      <c r="E34" s="1" t="s">
        <v>0</v>
      </c>
      <c r="F34" s="1">
        <v>151</v>
      </c>
      <c r="G34" s="1">
        <v>43.980000000000246</v>
      </c>
      <c r="H34" s="1" t="s">
        <v>1</v>
      </c>
      <c r="I34" s="1">
        <v>1327</v>
      </c>
      <c r="J34" s="2">
        <f t="shared" si="50"/>
        <v>56.625</v>
      </c>
      <c r="K34" s="2">
        <f t="shared" si="51"/>
        <v>-151.733</v>
      </c>
      <c r="L34" s="13">
        <f t="shared" si="15"/>
        <v>0.58250363785310744</v>
      </c>
      <c r="M34" s="13">
        <f t="shared" si="16"/>
        <v>-2.6482404339285561</v>
      </c>
      <c r="N34" s="8">
        <f t="shared" si="9"/>
        <v>32</v>
      </c>
      <c r="O34" s="8">
        <f t="shared" si="10"/>
        <v>17</v>
      </c>
      <c r="P34" s="9">
        <f>Assumptions!$D$3</f>
        <v>10.5</v>
      </c>
      <c r="Q34" s="11">
        <f t="shared" si="40"/>
        <v>1.6</v>
      </c>
      <c r="R34" s="11">
        <f>Assumptions!$D$5</f>
        <v>1</v>
      </c>
      <c r="S34" s="11">
        <f>ROUND(I34/Assumptions!$D$6/60,1)</f>
        <v>0.7</v>
      </c>
      <c r="T34" s="11">
        <f>Assumptions!$D$8</f>
        <v>1.5</v>
      </c>
      <c r="U34" s="18">
        <f t="shared" si="22"/>
        <v>3.2</v>
      </c>
      <c r="V34" s="12">
        <f t="shared" si="18"/>
        <v>43303.78333333334</v>
      </c>
      <c r="W34" s="10">
        <f t="shared" si="12"/>
        <v>43303.850000000006</v>
      </c>
      <c r="X34" s="11">
        <f t="shared" si="47"/>
        <v>274.40000000019791</v>
      </c>
      <c r="Y34" s="11">
        <f t="shared" si="48"/>
        <v>11.433333333341579</v>
      </c>
    </row>
    <row r="35" spans="1:25" x14ac:dyDescent="0.2">
      <c r="A35" s="1" t="s">
        <v>55</v>
      </c>
      <c r="B35" s="1"/>
      <c r="C35" s="1">
        <v>56</v>
      </c>
      <c r="D35" s="1">
        <v>32.639999999999816</v>
      </c>
      <c r="E35" s="1" t="s">
        <v>0</v>
      </c>
      <c r="F35" s="1">
        <v>151</v>
      </c>
      <c r="G35" s="1">
        <v>13.65419999999915</v>
      </c>
      <c r="H35" s="1" t="s">
        <v>1</v>
      </c>
      <c r="I35" s="1">
        <v>3164</v>
      </c>
      <c r="J35" s="2">
        <f t="shared" ref="J35" si="52">IF(E35="N",C35+D35/60,-(C35+D35/60))</f>
        <v>56.543999999999997</v>
      </c>
      <c r="K35" s="2">
        <f t="shared" ref="K35" si="53">IF(H35="E",F35+G35/60,-(F35+G35/60))</f>
        <v>-151.22756999999999</v>
      </c>
      <c r="L35" s="13">
        <f t="shared" ref="L35" si="54">RADIANS(90 - J35)</f>
        <v>0.58391735454722293</v>
      </c>
      <c r="M35" s="13">
        <f t="shared" ref="M35" si="55">RADIANS(K35)</f>
        <v>-2.6394190162902009</v>
      </c>
      <c r="N35" s="8">
        <f xml:space="preserve"> ROUND(ACOS( COS(L35)*COS(L36) + SIN(L35)*SIN(L36)*COS(M35-M36) ) * 6371,0)</f>
        <v>373</v>
      </c>
      <c r="O35" s="8">
        <f t="shared" si="10"/>
        <v>201</v>
      </c>
      <c r="P35" s="9">
        <f>Assumptions!$D$3</f>
        <v>10.5</v>
      </c>
      <c r="Q35" s="11">
        <f t="shared" ref="Q35" si="56">ROUND(O35/P35,1)</f>
        <v>19.100000000000001</v>
      </c>
      <c r="R35" s="11">
        <f>Assumptions!$D$5</f>
        <v>1</v>
      </c>
      <c r="S35" s="11">
        <f>ROUND(I35/Assumptions!$D$6/60,1)</f>
        <v>1.8</v>
      </c>
      <c r="T35" s="11">
        <f>Assumptions!$D$8</f>
        <v>1.5</v>
      </c>
      <c r="U35" s="18">
        <f t="shared" si="22"/>
        <v>4.3</v>
      </c>
      <c r="V35" s="12">
        <f t="shared" si="18"/>
        <v>43304.029166666674</v>
      </c>
      <c r="W35" s="10">
        <f t="shared" si="12"/>
        <v>43304.825000000004</v>
      </c>
      <c r="X35" s="11">
        <f t="shared" si="47"/>
        <v>297.80000000016298</v>
      </c>
      <c r="Y35" s="11">
        <f t="shared" si="48"/>
        <v>12.408333333340124</v>
      </c>
    </row>
    <row r="36" spans="1:25" s="4" customFormat="1" x14ac:dyDescent="0.2">
      <c r="A36" s="21" t="s">
        <v>24</v>
      </c>
      <c r="B36" s="21"/>
      <c r="C36" s="21">
        <v>59</v>
      </c>
      <c r="D36" s="22">
        <v>45.168999999999997</v>
      </c>
      <c r="E36" s="21" t="s">
        <v>0</v>
      </c>
      <c r="F36" s="21">
        <v>149</v>
      </c>
      <c r="G36" s="22">
        <v>22.756</v>
      </c>
      <c r="H36" s="21" t="s">
        <v>1</v>
      </c>
      <c r="I36" s="30"/>
      <c r="J36" s="23">
        <f>IF(E36="N",C36+D36/60,-(C36+D36/60))</f>
        <v>59.752816666666668</v>
      </c>
      <c r="K36" s="23">
        <f>IF(H36="E",F36+G36/60,-(F36+G36/60))</f>
        <v>-149.37926666666667</v>
      </c>
      <c r="L36" s="24">
        <f>RADIANS(90 - J36)</f>
        <v>0.52791293862102018</v>
      </c>
      <c r="M36" s="24">
        <f>RADIANS(K36)</f>
        <v>-2.6071600375479482</v>
      </c>
      <c r="N36" s="25">
        <f xml:space="preserve"> ROUND(ACOS( COS(L36)*COS(L37) + SIN(L36)*SIN(L37)*COS(M36-M37) ) * 6371,0)</f>
        <v>10</v>
      </c>
      <c r="O36" s="25">
        <f>ROUND(N36/1.852, 0)</f>
        <v>5</v>
      </c>
      <c r="P36" s="26">
        <v>6</v>
      </c>
      <c r="Q36" s="27">
        <f t="shared" ref="Q36:Q37" si="57">ROUND(O36/P36,1)</f>
        <v>0.8</v>
      </c>
      <c r="R36" s="27">
        <v>0</v>
      </c>
      <c r="S36" s="27">
        <f>ROUND(I36/39/60,1)</f>
        <v>0</v>
      </c>
      <c r="T36" s="27">
        <v>0</v>
      </c>
      <c r="U36" s="31">
        <f>SUM(R36,S36,T36)</f>
        <v>0</v>
      </c>
      <c r="V36" s="28">
        <f>W35+U36/24</f>
        <v>43304.825000000004</v>
      </c>
      <c r="W36" s="29">
        <f>V36  + Q36/24</f>
        <v>43304.858333333337</v>
      </c>
      <c r="X36" s="27">
        <f>(W36-V36)*24 + (V36-W35)*24 + X35</f>
        <v>298.60000000015134</v>
      </c>
      <c r="Y36" s="27">
        <f>X36/24</f>
        <v>12.441666666672972</v>
      </c>
    </row>
    <row r="37" spans="1:25" s="4" customFormat="1" x14ac:dyDescent="0.2">
      <c r="A37" s="21" t="s">
        <v>23</v>
      </c>
      <c r="B37" s="21"/>
      <c r="C37" s="21">
        <v>59</v>
      </c>
      <c r="D37" s="22">
        <v>49.612000000000002</v>
      </c>
      <c r="E37" s="21" t="s">
        <v>0</v>
      </c>
      <c r="F37" s="21">
        <v>149</v>
      </c>
      <c r="G37" s="22">
        <v>28.664000000000001</v>
      </c>
      <c r="H37" s="21" t="s">
        <v>1</v>
      </c>
      <c r="I37" s="30"/>
      <c r="J37" s="23">
        <f>IF(E37="N",C37+D37/60,-(C37+D37/60))</f>
        <v>59.826866666666668</v>
      </c>
      <c r="K37" s="23">
        <f>IF(H37="E",F37+G37/60,-(F37+G37/60))</f>
        <v>-149.47773333333333</v>
      </c>
      <c r="L37" s="24">
        <f>RADIANS(90 - J37)</f>
        <v>0.5266205223099184</v>
      </c>
      <c r="M37" s="24">
        <f>RADIANS(K37)</f>
        <v>-2.6088786050847452</v>
      </c>
      <c r="N37" s="25">
        <f xml:space="preserve"> ROUND(ACOS( COS(L37)*COS(L38) + SIN(L37)*SIN(L38)*COS(M37-M38) ) * 6371,0)</f>
        <v>18</v>
      </c>
      <c r="O37" s="25">
        <f>ROUND(N37/1.852, 0)</f>
        <v>10</v>
      </c>
      <c r="P37" s="26">
        <v>6</v>
      </c>
      <c r="Q37" s="27">
        <f t="shared" si="57"/>
        <v>1.7</v>
      </c>
      <c r="R37" s="27">
        <v>0</v>
      </c>
      <c r="S37" s="27">
        <f>ROUND(I37/39/60,1)</f>
        <v>0</v>
      </c>
      <c r="T37" s="27">
        <v>0</v>
      </c>
      <c r="U37" s="31">
        <f>SUM(R37,S37,T37)</f>
        <v>0</v>
      </c>
      <c r="V37" s="28">
        <f>W36+U37/24</f>
        <v>43304.858333333337</v>
      </c>
      <c r="W37" s="29">
        <f>V37  + Q37/24</f>
        <v>43304.929166666669</v>
      </c>
      <c r="X37" s="27">
        <f>(W37-V37)*24 + (V37-W36)*24 + X36</f>
        <v>300.30000000010477</v>
      </c>
      <c r="Y37" s="27">
        <f>X37/24</f>
        <v>12.512500000004366</v>
      </c>
    </row>
    <row r="38" spans="1:25" s="4" customFormat="1" x14ac:dyDescent="0.2">
      <c r="A38" s="21" t="s">
        <v>22</v>
      </c>
      <c r="B38" s="21"/>
      <c r="C38" s="21">
        <v>59</v>
      </c>
      <c r="D38" s="22">
        <v>58.273000000000003</v>
      </c>
      <c r="E38" s="21" t="s">
        <v>0</v>
      </c>
      <c r="F38" s="21">
        <v>149</v>
      </c>
      <c r="G38" s="22">
        <v>21.114999999999998</v>
      </c>
      <c r="H38" s="21" t="s">
        <v>1</v>
      </c>
      <c r="I38" s="21"/>
      <c r="J38" s="23">
        <f>IF(E38="N",C38+D38/60,-(C38+D38/60))</f>
        <v>59.971216666666663</v>
      </c>
      <c r="K38" s="23">
        <f>IF(H38="E",F38+G38/60,-(F38+G38/60))</f>
        <v>-149.35191666666665</v>
      </c>
      <c r="L38" s="24">
        <f>RADIANS(90 - J38)</f>
        <v>0.52410113953466464</v>
      </c>
      <c r="M38" s="24">
        <f>RADIANS(K38)</f>
        <v>-2.6066826899975277</v>
      </c>
      <c r="N38" s="25">
        <f xml:space="preserve"> ROUND(ACOS( COS(L38)*COS(L39) + SIN(L38)*SIN(L39)*COS(M38-M39) ) * 6371,0)</f>
        <v>17</v>
      </c>
      <c r="O38" s="25">
        <f>ROUND(N38/1.852, 0)</f>
        <v>9</v>
      </c>
      <c r="P38" s="26">
        <v>5</v>
      </c>
      <c r="Q38" s="27">
        <f>ROUND(O38/P38,1)</f>
        <v>1.8</v>
      </c>
      <c r="R38" s="27">
        <v>0</v>
      </c>
      <c r="S38" s="27">
        <f>ROUND(I38/39/60,1)</f>
        <v>0</v>
      </c>
      <c r="T38" s="27">
        <v>0</v>
      </c>
      <c r="U38" s="31">
        <f>SUM(R38,S38,T38)</f>
        <v>0</v>
      </c>
      <c r="V38" s="28">
        <f>W37+U38/24</f>
        <v>43304.929166666669</v>
      </c>
      <c r="W38" s="29">
        <f>V38  + Q38/24</f>
        <v>43305.004166666666</v>
      </c>
      <c r="X38" s="27">
        <f>(W38-V38)*24 + (V38-W37)*24 + X37</f>
        <v>302.10000000003492</v>
      </c>
      <c r="Y38" s="27">
        <f>X38/24</f>
        <v>12.587500000001455</v>
      </c>
    </row>
    <row r="39" spans="1:25" s="4" customFormat="1" x14ac:dyDescent="0.2">
      <c r="A39" s="21" t="s">
        <v>21</v>
      </c>
      <c r="B39" s="21"/>
      <c r="C39" s="21">
        <v>60</v>
      </c>
      <c r="D39" s="22">
        <v>7.1340000000000003</v>
      </c>
      <c r="E39" s="21" t="s">
        <v>0</v>
      </c>
      <c r="F39" s="21">
        <v>149</v>
      </c>
      <c r="G39" s="22">
        <v>25.675999999999998</v>
      </c>
      <c r="H39" s="21" t="s">
        <v>1</v>
      </c>
      <c r="I39" s="32"/>
      <c r="J39" s="23">
        <f>IF(E39="N",C39+D39/60,-(C39+D39/60))</f>
        <v>60.118899999999996</v>
      </c>
      <c r="K39" s="23">
        <f>IF(H39="E",F39+G39/60,-(F39+G39/60))</f>
        <v>-149.42793333333333</v>
      </c>
      <c r="L39" s="24">
        <f>RADIANS(90 - J39)</f>
        <v>0.52152357911767766</v>
      </c>
      <c r="M39" s="24">
        <f>RADIANS(K39)</f>
        <v>-2.6080094311172521</v>
      </c>
      <c r="N39" s="25"/>
      <c r="O39" s="25"/>
      <c r="P39" s="32"/>
      <c r="Q39" s="32"/>
      <c r="R39" s="27"/>
      <c r="S39" s="32"/>
      <c r="T39" s="32"/>
      <c r="U39" s="32"/>
      <c r="V39" s="32"/>
      <c r="W39" s="32"/>
      <c r="X39" s="32"/>
      <c r="Y39" s="32"/>
    </row>
    <row r="40" spans="1:25" x14ac:dyDescent="0.2">
      <c r="A40" s="1"/>
      <c r="B40" s="1"/>
      <c r="C40" s="1"/>
      <c r="D40" s="15"/>
      <c r="E40" s="1"/>
      <c r="F40" s="1"/>
      <c r="G40" s="15"/>
      <c r="H40" s="1"/>
      <c r="I40" s="1"/>
      <c r="J40" s="2"/>
      <c r="K40" s="2"/>
      <c r="L40" s="13"/>
      <c r="M40" s="13"/>
      <c r="N40" s="8"/>
      <c r="O40" s="8"/>
      <c r="P40" s="9"/>
      <c r="Q40" s="11"/>
      <c r="R40" s="11"/>
      <c r="S40" s="11"/>
      <c r="T40" s="11"/>
      <c r="U40" s="1"/>
      <c r="V40" s="10"/>
      <c r="W40" s="10"/>
      <c r="X40" s="11"/>
      <c r="Y40" s="11"/>
    </row>
    <row r="41" spans="1:25" x14ac:dyDescent="0.2">
      <c r="A41" s="1"/>
      <c r="B41" s="1"/>
      <c r="C41" s="1"/>
      <c r="D41" s="15"/>
      <c r="E41" s="1"/>
      <c r="F41" s="1"/>
      <c r="G41" s="15"/>
      <c r="H41" s="1"/>
      <c r="I41" s="1"/>
      <c r="J41" s="2"/>
      <c r="K41" s="2"/>
      <c r="L41" s="13"/>
      <c r="M41" s="13"/>
      <c r="N41" s="8"/>
      <c r="O41" s="8"/>
      <c r="P41" s="9"/>
      <c r="Q41" s="11"/>
      <c r="R41" s="11"/>
      <c r="S41" s="11"/>
      <c r="T41" s="11"/>
      <c r="U41" s="1"/>
      <c r="V41" s="10"/>
      <c r="W41" s="10"/>
      <c r="X41" s="11"/>
      <c r="Y41" s="11"/>
    </row>
    <row r="42" spans="1:25" x14ac:dyDescent="0.2">
      <c r="A42" s="1"/>
      <c r="B42" s="1"/>
      <c r="C42" s="1"/>
      <c r="D42" s="15"/>
      <c r="E42" s="1"/>
      <c r="F42" s="1"/>
      <c r="G42" s="15"/>
      <c r="H42" s="1"/>
      <c r="I42" s="1"/>
      <c r="J42" s="2"/>
      <c r="K42" s="2"/>
      <c r="L42" s="13"/>
      <c r="M42" s="13"/>
      <c r="N42" s="8"/>
      <c r="O42" s="8"/>
      <c r="P42" s="9"/>
      <c r="Q42" s="11"/>
      <c r="R42" s="11"/>
      <c r="S42" s="11"/>
      <c r="T42" s="11"/>
      <c r="U42" s="1"/>
      <c r="V42" s="10"/>
      <c r="W42" s="10"/>
      <c r="X42" s="11"/>
      <c r="Y42" s="11"/>
    </row>
    <row r="43" spans="1:25" s="4" customFormat="1" x14ac:dyDescent="0.2">
      <c r="A43" s="3"/>
      <c r="B43" s="3"/>
      <c r="C43" s="3"/>
      <c r="D43" s="14"/>
      <c r="E43" s="3"/>
      <c r="F43" s="3"/>
      <c r="G43" s="14"/>
      <c r="H43" s="3"/>
      <c r="I43" s="3"/>
      <c r="J43" s="2"/>
      <c r="K43" s="2"/>
      <c r="L43" s="13"/>
      <c r="M43" s="13"/>
      <c r="N43" s="8"/>
      <c r="O43" s="8"/>
      <c r="P43" s="9"/>
      <c r="Q43" s="11"/>
      <c r="R43" s="11"/>
      <c r="S43" s="11"/>
      <c r="T43" s="11"/>
      <c r="U43" s="9"/>
      <c r="V43" s="10"/>
      <c r="W43" s="10"/>
      <c r="X43" s="11"/>
      <c r="Y43" s="1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showRuler="0" topLeftCell="A4" workbookViewId="0">
      <selection activeCell="A8" sqref="A8"/>
    </sheetView>
  </sheetViews>
  <sheetFormatPr baseColWidth="10" defaultRowHeight="16" x14ac:dyDescent="0.2"/>
  <cols>
    <col min="1" max="1" width="19.1640625" customWidth="1"/>
    <col min="2" max="2" width="18" customWidth="1"/>
    <col min="3" max="3" width="18.33203125" customWidth="1"/>
  </cols>
  <sheetData>
    <row r="1" spans="1:3" s="17" customFormat="1" ht="32" x14ac:dyDescent="0.2">
      <c r="A1" s="5" t="str">
        <f>Plan!A1</f>
        <v>Site Name</v>
      </c>
      <c r="B1" s="5" t="str">
        <f>Plan!K1</f>
        <v>Site Longitude (decimal degrees)</v>
      </c>
      <c r="C1" s="5" t="str">
        <f>Plan!J1</f>
        <v>Site Latitude (decimal degrees)</v>
      </c>
    </row>
    <row r="2" spans="1:3" x14ac:dyDescent="0.2">
      <c r="A2" s="20" t="str">
        <f>Plan!A2</f>
        <v>Seward</v>
      </c>
      <c r="B2" s="16">
        <f>Plan!K2</f>
        <v>-149.42793333333333</v>
      </c>
      <c r="C2" s="16">
        <f>Plan!J2</f>
        <v>60.118899999999996</v>
      </c>
    </row>
    <row r="3" spans="1:3" x14ac:dyDescent="0.2">
      <c r="A3" s="20" t="str">
        <f>Plan!A3</f>
        <v>WP-01</v>
      </c>
      <c r="B3" s="16">
        <f>Plan!K3</f>
        <v>-149.35191666666665</v>
      </c>
      <c r="C3" s="16">
        <f>Plan!J3</f>
        <v>59.971216666666663</v>
      </c>
    </row>
    <row r="4" spans="1:3" x14ac:dyDescent="0.2">
      <c r="A4" s="20" t="str">
        <f>Plan!A4</f>
        <v>WP-02</v>
      </c>
      <c r="B4" s="16">
        <f>Plan!K4</f>
        <v>-149.47773333333333</v>
      </c>
      <c r="C4" s="16">
        <f>Plan!J4</f>
        <v>59.826866666666668</v>
      </c>
    </row>
    <row r="5" spans="1:3" x14ac:dyDescent="0.2">
      <c r="A5" s="20" t="str">
        <f>Plan!A5</f>
        <v>WP-03</v>
      </c>
      <c r="B5" s="16">
        <f>Plan!K5</f>
        <v>-149.37926666666667</v>
      </c>
      <c r="C5" s="16">
        <f>Plan!J5</f>
        <v>59.752816666666668</v>
      </c>
    </row>
    <row r="6" spans="1:3" x14ac:dyDescent="0.2">
      <c r="A6" s="1" t="str">
        <f>Plan!A6</f>
        <v>WD46</v>
      </c>
      <c r="B6" s="16">
        <f>Plan!K6</f>
        <v>-149.69999999999999</v>
      </c>
      <c r="C6" s="16">
        <f>Plan!J6</f>
        <v>55.52</v>
      </c>
    </row>
    <row r="7" spans="1:3" x14ac:dyDescent="0.2">
      <c r="A7" s="1" t="str">
        <f>Plan!A7</f>
        <v>WD47</v>
      </c>
      <c r="B7" s="16">
        <f>Plan!K7</f>
        <v>-150.44999999999999</v>
      </c>
      <c r="C7" s="16">
        <f>Plan!J7</f>
        <v>54.95</v>
      </c>
    </row>
    <row r="8" spans="1:3" x14ac:dyDescent="0.2">
      <c r="A8" s="1" t="str">
        <f>Plan!A8</f>
        <v>WD49</v>
      </c>
      <c r="B8" s="16">
        <f>Plan!K8</f>
        <v>-151.9</v>
      </c>
      <c r="C8" s="16">
        <f>Plan!J8</f>
        <v>54.4</v>
      </c>
    </row>
    <row r="9" spans="1:3" x14ac:dyDescent="0.2">
      <c r="A9" s="1" t="str">
        <f>Plan!A9</f>
        <v>WD53</v>
      </c>
      <c r="B9" s="16">
        <f>Plan!K9</f>
        <v>-153.42058</v>
      </c>
      <c r="C9" s="16">
        <f>Plan!J9</f>
        <v>53.78</v>
      </c>
    </row>
    <row r="10" spans="1:3" x14ac:dyDescent="0.2">
      <c r="A10" s="1" t="str">
        <f>Plan!A10</f>
        <v>WD58</v>
      </c>
      <c r="B10" s="16">
        <f>Plan!K10</f>
        <v>-155.03756000000001</v>
      </c>
      <c r="C10" s="16">
        <f>Plan!J10</f>
        <v>53.906179999999999</v>
      </c>
    </row>
    <row r="11" spans="1:3" x14ac:dyDescent="0.2">
      <c r="A11" s="1" t="str">
        <f>Plan!A11</f>
        <v>WD59</v>
      </c>
      <c r="B11" s="16">
        <f>Plan!K11</f>
        <v>-155.80735000000001</v>
      </c>
      <c r="C11" s="16">
        <f>Plan!J11</f>
        <v>53.38026</v>
      </c>
    </row>
    <row r="12" spans="1:3" x14ac:dyDescent="0.2">
      <c r="A12" s="1" t="str">
        <f>Plan!A12</f>
        <v>WD60</v>
      </c>
      <c r="B12" s="16">
        <f>Plan!K12</f>
        <v>-156.58186000000001</v>
      </c>
      <c r="C12" s="16">
        <f>Plan!J12</f>
        <v>52.642359999999996</v>
      </c>
    </row>
    <row r="13" spans="1:3" x14ac:dyDescent="0.2">
      <c r="A13" s="1" t="str">
        <f>Plan!A13</f>
        <v>WD62</v>
      </c>
      <c r="B13" s="16">
        <f>Plan!K13</f>
        <v>-157.33211</v>
      </c>
      <c r="C13" s="16">
        <f>Plan!J13</f>
        <v>53.361840000000001</v>
      </c>
    </row>
    <row r="14" spans="1:3" x14ac:dyDescent="0.2">
      <c r="A14" s="1" t="str">
        <f>Plan!A14</f>
        <v>WD63</v>
      </c>
      <c r="B14" s="16">
        <f>Plan!K14</f>
        <v>-158.09085999999999</v>
      </c>
      <c r="C14" s="16">
        <f>Plan!J14</f>
        <v>52.591369999999998</v>
      </c>
    </row>
    <row r="15" spans="1:3" x14ac:dyDescent="0.2">
      <c r="A15" s="1" t="str">
        <f>Plan!A15</f>
        <v>WD64</v>
      </c>
      <c r="B15" s="16">
        <f>Plan!K15</f>
        <v>-158.697</v>
      </c>
      <c r="C15" s="16">
        <f>Plan!J15</f>
        <v>52.000100000000003</v>
      </c>
    </row>
    <row r="16" spans="1:3" x14ac:dyDescent="0.2">
      <c r="A16" s="1" t="str">
        <f>Plan!A16</f>
        <v>WD65</v>
      </c>
      <c r="B16" s="16">
        <f>Plan!K16</f>
        <v>-158.91485</v>
      </c>
      <c r="C16" s="16">
        <f>Plan!J16</f>
        <v>52.902329999999999</v>
      </c>
    </row>
    <row r="17" spans="1:3" x14ac:dyDescent="0.2">
      <c r="A17" s="1" t="str">
        <f>Plan!A17</f>
        <v>WD67</v>
      </c>
      <c r="B17" s="16">
        <f>Plan!K17</f>
        <v>-160.03129999999999</v>
      </c>
      <c r="C17" s="16">
        <f>Plan!J17</f>
        <v>52.162979999999997</v>
      </c>
    </row>
    <row r="18" spans="1:3" x14ac:dyDescent="0.2">
      <c r="A18" s="1" t="str">
        <f>Plan!A18</f>
        <v>WD68</v>
      </c>
      <c r="B18" s="16">
        <f>Plan!K18</f>
        <v>-160.07830000000001</v>
      </c>
      <c r="C18" s="16">
        <f>Plan!J18</f>
        <v>52.919060000000002</v>
      </c>
    </row>
    <row r="19" spans="1:3" x14ac:dyDescent="0.2">
      <c r="A19" s="1" t="str">
        <f>Plan!A19</f>
        <v>WD66</v>
      </c>
      <c r="B19" s="16">
        <f>Plan!K19</f>
        <v>-159.60613000000001</v>
      </c>
      <c r="C19" s="16">
        <f>Plan!J19</f>
        <v>53.325670000000002</v>
      </c>
    </row>
    <row r="20" spans="1:3" x14ac:dyDescent="0.2">
      <c r="A20" s="1" t="str">
        <f>Plan!A20</f>
        <v>WD69</v>
      </c>
      <c r="B20" s="16">
        <f>Plan!K20</f>
        <v>-160.333</v>
      </c>
      <c r="C20" s="16">
        <f>Plan!J20</f>
        <v>53.783299999999997</v>
      </c>
    </row>
    <row r="21" spans="1:3" x14ac:dyDescent="0.2">
      <c r="A21" s="1" t="str">
        <f>Plan!A21</f>
        <v>WS75</v>
      </c>
      <c r="B21" s="16">
        <f>Plan!K21</f>
        <v>-160.25</v>
      </c>
      <c r="C21" s="16">
        <f>Plan!J21</f>
        <v>54.18</v>
      </c>
    </row>
    <row r="22" spans="1:3" x14ac:dyDescent="0.2">
      <c r="A22" s="1" t="str">
        <f>Plan!A22</f>
        <v>WD52</v>
      </c>
      <c r="B22" s="16">
        <f>Plan!K22</f>
        <v>-159.35</v>
      </c>
      <c r="C22" s="16">
        <f>Plan!J22</f>
        <v>54.05</v>
      </c>
    </row>
    <row r="23" spans="1:3" x14ac:dyDescent="0.2">
      <c r="A23" s="1" t="str">
        <f>Plan!A23</f>
        <v>WS74</v>
      </c>
      <c r="B23" s="16">
        <f>Plan!K23</f>
        <v>-159.32525000000001</v>
      </c>
      <c r="C23" s="16">
        <f>Plan!J23</f>
        <v>54.36</v>
      </c>
    </row>
    <row r="24" spans="1:3" x14ac:dyDescent="0.2">
      <c r="A24" s="1" t="str">
        <f>Plan!A24</f>
        <v>WS73</v>
      </c>
      <c r="B24" s="16">
        <f>Plan!K24</f>
        <v>-158.51</v>
      </c>
      <c r="C24" s="16">
        <f>Plan!J24</f>
        <v>54.42</v>
      </c>
    </row>
    <row r="25" spans="1:3" x14ac:dyDescent="0.2">
      <c r="A25" s="1" t="str">
        <f>Plan!A25</f>
        <v>WD61</v>
      </c>
      <c r="B25" s="16">
        <f>Plan!K25</f>
        <v>-156.875</v>
      </c>
      <c r="C25" s="16">
        <f>Plan!J25</f>
        <v>54.65</v>
      </c>
    </row>
    <row r="26" spans="1:3" x14ac:dyDescent="0.2">
      <c r="A26" s="1" t="str">
        <f>Plan!A26</f>
        <v>WD57</v>
      </c>
      <c r="B26" s="16">
        <f>Plan!K26</f>
        <v>-154.43606</v>
      </c>
      <c r="C26" s="16">
        <f>Plan!J26</f>
        <v>54.731259999999999</v>
      </c>
    </row>
    <row r="27" spans="1:3" x14ac:dyDescent="0.2">
      <c r="A27" s="1" t="str">
        <f>Plan!A27</f>
        <v>WD56</v>
      </c>
      <c r="B27" s="16">
        <f>Plan!K27</f>
        <v>-154.32</v>
      </c>
      <c r="C27" s="16">
        <f>Plan!J27</f>
        <v>55.232999999999997</v>
      </c>
    </row>
    <row r="28" spans="1:3" x14ac:dyDescent="0.2">
      <c r="A28" s="1" t="str">
        <f>Plan!A28</f>
        <v>WD54</v>
      </c>
      <c r="B28" s="16">
        <f>Plan!K28</f>
        <v>-153.6</v>
      </c>
      <c r="C28" s="16">
        <f>Plan!J28</f>
        <v>55.466999999999999</v>
      </c>
    </row>
    <row r="29" spans="1:3" x14ac:dyDescent="0.2">
      <c r="A29" s="1" t="str">
        <f>Plan!A29</f>
        <v>WD55</v>
      </c>
      <c r="B29" s="16">
        <f>Plan!K29</f>
        <v>-153.66</v>
      </c>
      <c r="C29" s="16">
        <f>Plan!J29</f>
        <v>55.76</v>
      </c>
    </row>
    <row r="30" spans="1:3" x14ac:dyDescent="0.2">
      <c r="A30" s="1" t="str">
        <f>Plan!A30</f>
        <v>WS71</v>
      </c>
      <c r="B30" s="16">
        <f>Plan!K30</f>
        <v>-153.07499999999999</v>
      </c>
      <c r="C30" s="16">
        <f>Plan!J30</f>
        <v>56.15</v>
      </c>
    </row>
    <row r="31" spans="1:3" x14ac:dyDescent="0.2">
      <c r="A31" s="1" t="str">
        <f>Plan!A31</f>
        <v>WD51</v>
      </c>
      <c r="B31" s="16">
        <f>Plan!K31</f>
        <v>-152.75</v>
      </c>
      <c r="C31" s="16">
        <f>Plan!J31</f>
        <v>55.9</v>
      </c>
    </row>
    <row r="32" spans="1:3" x14ac:dyDescent="0.2">
      <c r="A32" s="1" t="str">
        <f>Plan!A32</f>
        <v>WD50</v>
      </c>
      <c r="B32" s="16">
        <f>Plan!K32</f>
        <v>-152.39690999999999</v>
      </c>
      <c r="C32" s="16">
        <f>Plan!J32</f>
        <v>55.452069999999999</v>
      </c>
    </row>
    <row r="33" spans="1:3" x14ac:dyDescent="0.2">
      <c r="A33" s="1" t="str">
        <f>Plan!A33</f>
        <v>WS72</v>
      </c>
      <c r="B33" s="16">
        <f>Plan!K33</f>
        <v>-151.833</v>
      </c>
      <c r="C33" s="16">
        <f>Plan!J33</f>
        <v>56.25</v>
      </c>
    </row>
    <row r="34" spans="1:3" x14ac:dyDescent="0.2">
      <c r="A34" s="1" t="str">
        <f>Plan!A34</f>
        <v>WD48</v>
      </c>
      <c r="B34" s="16">
        <f>Plan!K34</f>
        <v>-151.733</v>
      </c>
      <c r="C34" s="16">
        <f>Plan!J34</f>
        <v>56.625</v>
      </c>
    </row>
    <row r="35" spans="1:3" x14ac:dyDescent="0.2">
      <c r="A35" s="1" t="str">
        <f>Plan!A35</f>
        <v>WD70</v>
      </c>
      <c r="B35" s="16">
        <f>Plan!K35</f>
        <v>-151.22756999999999</v>
      </c>
      <c r="C35" s="16">
        <f>Plan!J35</f>
        <v>56.543999999999997</v>
      </c>
    </row>
    <row r="36" spans="1:3" x14ac:dyDescent="0.2">
      <c r="A36" s="20" t="str">
        <f>Plan!A36</f>
        <v>WP-03</v>
      </c>
      <c r="B36" s="16">
        <f>Plan!K36</f>
        <v>-149.37926666666667</v>
      </c>
      <c r="C36" s="16">
        <f>Plan!J36</f>
        <v>59.752816666666668</v>
      </c>
    </row>
    <row r="37" spans="1:3" x14ac:dyDescent="0.2">
      <c r="A37" s="20" t="str">
        <f>Plan!A37</f>
        <v>WP-02</v>
      </c>
      <c r="B37" s="16">
        <f>Plan!K37</f>
        <v>-149.47773333333333</v>
      </c>
      <c r="C37" s="16">
        <f>Plan!J37</f>
        <v>59.826866666666668</v>
      </c>
    </row>
    <row r="38" spans="1:3" x14ac:dyDescent="0.2">
      <c r="A38" s="20" t="str">
        <f>Plan!A38</f>
        <v>WP-01</v>
      </c>
      <c r="B38" s="16">
        <f>Plan!K38</f>
        <v>-149.35191666666665</v>
      </c>
      <c r="C38" s="16">
        <f>Plan!J38</f>
        <v>59.971216666666663</v>
      </c>
    </row>
    <row r="39" spans="1:3" x14ac:dyDescent="0.2">
      <c r="A39" s="20" t="str">
        <f>Plan!A39</f>
        <v>Seward</v>
      </c>
      <c r="B39" s="16">
        <f>Plan!K39</f>
        <v>-149.42793333333333</v>
      </c>
      <c r="C39" s="16">
        <f>Plan!J39</f>
        <v>60.118899999999996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Assumptions</vt:lpstr>
      <vt:lpstr>Plan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A. Collins</dc:creator>
  <cp:lastModifiedBy>John Collins</cp:lastModifiedBy>
  <dcterms:created xsi:type="dcterms:W3CDTF">2014-03-12T19:21:27Z</dcterms:created>
  <dcterms:modified xsi:type="dcterms:W3CDTF">2019-04-16T20:02:33Z</dcterms:modified>
</cp:coreProperties>
</file>