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c/OBSIC/Experiments/Boettcher/Schedule/"/>
    </mc:Choice>
  </mc:AlternateContent>
  <xr:revisionPtr revIDLastSave="0" documentId="13_ncr:1_{15AAD207-5C2B-C74F-B3D0-86C28392CDD5}" xr6:coauthVersionLast="36" xr6:coauthVersionMax="36" xr10:uidLastSave="{00000000-0000-0000-0000-000000000000}"/>
  <bookViews>
    <workbookView xWindow="1820" yWindow="3640" windowWidth="39040" windowHeight="20180" tabRatio="500" xr2:uid="{00000000-000D-0000-FFFF-FFFF00000000}"/>
  </bookViews>
  <sheets>
    <sheet name="Assumptions" sheetId="3" r:id="rId1"/>
    <sheet name="Plan" sheetId="1" r:id="rId2"/>
    <sheet name="Map" sheetId="2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5" i="1" l="1"/>
  <c r="T16" i="1"/>
  <c r="T17" i="1"/>
  <c r="T18" i="1"/>
  <c r="T19" i="1"/>
  <c r="T20" i="1"/>
  <c r="T21" i="1"/>
  <c r="T22" i="1"/>
  <c r="T23" i="1"/>
  <c r="T24" i="1"/>
  <c r="T25" i="1"/>
  <c r="T26" i="1"/>
  <c r="T14" i="1"/>
  <c r="J28" i="1" l="1"/>
  <c r="T28" i="1" s="1"/>
  <c r="J29" i="1"/>
  <c r="T29" i="1" s="1"/>
  <c r="J30" i="1"/>
  <c r="T30" i="1" s="1"/>
  <c r="J31" i="1"/>
  <c r="T31" i="1" s="1"/>
  <c r="J32" i="1"/>
  <c r="T32" i="1" s="1"/>
  <c r="J33" i="1"/>
  <c r="T33" i="1" s="1"/>
  <c r="J34" i="1"/>
  <c r="T34" i="1" s="1"/>
  <c r="J35" i="1"/>
  <c r="T35" i="1" s="1"/>
  <c r="J36" i="1"/>
  <c r="T36" i="1" s="1"/>
  <c r="J37" i="1"/>
  <c r="T37" i="1" s="1"/>
  <c r="J38" i="1"/>
  <c r="T38" i="1" s="1"/>
  <c r="J39" i="1"/>
  <c r="T39" i="1" s="1"/>
  <c r="J40" i="1"/>
  <c r="T40" i="1" s="1"/>
  <c r="J41" i="1"/>
  <c r="T41" i="1" s="1"/>
  <c r="J42" i="1"/>
  <c r="T42" i="1" s="1"/>
  <c r="J43" i="1"/>
  <c r="T43" i="1" s="1"/>
  <c r="J44" i="1"/>
  <c r="T44" i="1" s="1"/>
  <c r="J45" i="1"/>
  <c r="T45" i="1" s="1"/>
  <c r="J46" i="1"/>
  <c r="T46" i="1" s="1"/>
  <c r="J47" i="1"/>
  <c r="T47" i="1" s="1"/>
  <c r="J48" i="1"/>
  <c r="J49" i="1"/>
  <c r="J50" i="1"/>
  <c r="J51" i="1"/>
  <c r="J52" i="1"/>
  <c r="J53" i="1"/>
  <c r="J54" i="1"/>
  <c r="J27" i="1"/>
  <c r="T27" i="1" s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4" i="1"/>
  <c r="U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4" i="1"/>
  <c r="L58" i="1"/>
  <c r="L57" i="1"/>
  <c r="L56" i="1"/>
  <c r="L55" i="1"/>
  <c r="K56" i="1"/>
  <c r="K57" i="1"/>
  <c r="K58" i="1"/>
  <c r="K55" i="1"/>
  <c r="T54" i="1" l="1"/>
  <c r="T48" i="1"/>
  <c r="T49" i="1"/>
  <c r="T50" i="1"/>
  <c r="T51" i="1"/>
  <c r="T52" i="1"/>
  <c r="T53" i="1"/>
  <c r="T5" i="1"/>
  <c r="T6" i="1"/>
  <c r="T7" i="1"/>
  <c r="T8" i="1"/>
  <c r="T9" i="1"/>
  <c r="T10" i="1"/>
  <c r="T11" i="1"/>
  <c r="T12" i="1"/>
  <c r="T13" i="1"/>
  <c r="T4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27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4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3" i="1"/>
  <c r="V35" i="1" l="1"/>
  <c r="V36" i="1"/>
  <c r="V37" i="1"/>
  <c r="V38" i="1"/>
  <c r="V39" i="1"/>
  <c r="V45" i="1"/>
  <c r="V46" i="1"/>
  <c r="V50" i="1"/>
  <c r="V51" i="1"/>
  <c r="V47" i="1"/>
  <c r="V48" i="1"/>
  <c r="V49" i="1"/>
  <c r="V27" i="1"/>
  <c r="M58" i="1"/>
  <c r="N58" i="1"/>
  <c r="T55" i="1"/>
  <c r="V55" i="1"/>
  <c r="T56" i="1"/>
  <c r="V56" i="1"/>
  <c r="T57" i="1"/>
  <c r="V57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40" i="1"/>
  <c r="V41" i="1"/>
  <c r="V42" i="1"/>
  <c r="V43" i="1"/>
  <c r="V44" i="1"/>
  <c r="V52" i="1"/>
  <c r="V53" i="1"/>
  <c r="V54" i="1"/>
  <c r="V4" i="1"/>
  <c r="M55" i="1" l="1"/>
  <c r="N55" i="1"/>
  <c r="M56" i="1"/>
  <c r="N56" i="1"/>
  <c r="M57" i="1"/>
  <c r="N57" i="1"/>
  <c r="K4" i="1"/>
  <c r="M4" i="1" s="1"/>
  <c r="L4" i="1"/>
  <c r="N4" i="1" s="1"/>
  <c r="K5" i="1"/>
  <c r="M5" i="1" s="1"/>
  <c r="L5" i="1"/>
  <c r="N5" i="1"/>
  <c r="K6" i="1"/>
  <c r="M6" i="1" s="1"/>
  <c r="L6" i="1"/>
  <c r="N6" i="1" s="1"/>
  <c r="K7" i="1"/>
  <c r="M7" i="1" s="1"/>
  <c r="L7" i="1"/>
  <c r="N7" i="1" s="1"/>
  <c r="K8" i="1"/>
  <c r="M8" i="1" s="1"/>
  <c r="L8" i="1"/>
  <c r="N8" i="1" s="1"/>
  <c r="K9" i="1"/>
  <c r="L9" i="1"/>
  <c r="N9" i="1" s="1"/>
  <c r="M9" i="1"/>
  <c r="K10" i="1"/>
  <c r="M10" i="1" s="1"/>
  <c r="L10" i="1"/>
  <c r="N10" i="1" s="1"/>
  <c r="K11" i="1"/>
  <c r="L11" i="1"/>
  <c r="N11" i="1" s="1"/>
  <c r="M11" i="1"/>
  <c r="K12" i="1"/>
  <c r="M12" i="1" s="1"/>
  <c r="L12" i="1"/>
  <c r="N12" i="1" s="1"/>
  <c r="K13" i="1"/>
  <c r="M13" i="1" s="1"/>
  <c r="L13" i="1"/>
  <c r="N13" i="1" s="1"/>
  <c r="K14" i="1"/>
  <c r="L14" i="1"/>
  <c r="N14" i="1" s="1"/>
  <c r="M14" i="1"/>
  <c r="K15" i="1"/>
  <c r="M15" i="1" s="1"/>
  <c r="L15" i="1"/>
  <c r="N15" i="1" s="1"/>
  <c r="K16" i="1"/>
  <c r="M16" i="1" s="1"/>
  <c r="L16" i="1"/>
  <c r="N16" i="1" s="1"/>
  <c r="K17" i="1"/>
  <c r="L17" i="1"/>
  <c r="M17" i="1"/>
  <c r="N17" i="1"/>
  <c r="K18" i="1"/>
  <c r="L18" i="1"/>
  <c r="N18" i="1" s="1"/>
  <c r="M18" i="1"/>
  <c r="K19" i="1"/>
  <c r="M19" i="1" s="1"/>
  <c r="L19" i="1"/>
  <c r="N19" i="1" s="1"/>
  <c r="K20" i="1"/>
  <c r="M20" i="1" s="1"/>
  <c r="L20" i="1"/>
  <c r="N20" i="1" s="1"/>
  <c r="K21" i="1"/>
  <c r="L21" i="1"/>
  <c r="M21" i="1"/>
  <c r="N21" i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L26" i="1"/>
  <c r="N26" i="1" s="1"/>
  <c r="M26" i="1"/>
  <c r="K27" i="1"/>
  <c r="M27" i="1" s="1"/>
  <c r="O27" i="1" s="1"/>
  <c r="P27" i="1" s="1"/>
  <c r="R27" i="1" s="1"/>
  <c r="L27" i="1"/>
  <c r="N27" i="1"/>
  <c r="K28" i="1"/>
  <c r="M28" i="1" s="1"/>
  <c r="L28" i="1"/>
  <c r="N28" i="1" s="1"/>
  <c r="K29" i="1"/>
  <c r="L29" i="1"/>
  <c r="N29" i="1" s="1"/>
  <c r="M29" i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L33" i="1"/>
  <c r="N33" i="1" s="1"/>
  <c r="M33" i="1"/>
  <c r="K34" i="1"/>
  <c r="M34" i="1" s="1"/>
  <c r="L34" i="1"/>
  <c r="N34" i="1" s="1"/>
  <c r="K35" i="1"/>
  <c r="M35" i="1" s="1"/>
  <c r="L35" i="1"/>
  <c r="N35" i="1"/>
  <c r="K36" i="1"/>
  <c r="L36" i="1"/>
  <c r="N36" i="1" s="1"/>
  <c r="M36" i="1"/>
  <c r="K37" i="1"/>
  <c r="M37" i="1" s="1"/>
  <c r="L37" i="1"/>
  <c r="N37" i="1" s="1"/>
  <c r="K38" i="1"/>
  <c r="L38" i="1"/>
  <c r="M38" i="1"/>
  <c r="N38" i="1"/>
  <c r="K39" i="1"/>
  <c r="M39" i="1" s="1"/>
  <c r="L39" i="1"/>
  <c r="N39" i="1" s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L47" i="1"/>
  <c r="M47" i="1"/>
  <c r="N47" i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L51" i="1"/>
  <c r="M51" i="1"/>
  <c r="N51" i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O57" i="1" l="1"/>
  <c r="P57" i="1" s="1"/>
  <c r="R57" i="1" s="1"/>
  <c r="O56" i="1"/>
  <c r="P56" i="1" s="1"/>
  <c r="R56" i="1" s="1"/>
  <c r="O54" i="1"/>
  <c r="P54" i="1" s="1"/>
  <c r="R54" i="1" s="1"/>
  <c r="O55" i="1"/>
  <c r="P55" i="1" s="1"/>
  <c r="R55" i="1" s="1"/>
  <c r="O25" i="1"/>
  <c r="P25" i="1" s="1"/>
  <c r="R25" i="1" s="1"/>
  <c r="O50" i="1"/>
  <c r="P50" i="1" s="1"/>
  <c r="R50" i="1" s="1"/>
  <c r="O13" i="1"/>
  <c r="P13" i="1" s="1"/>
  <c r="R13" i="1" s="1"/>
  <c r="O36" i="1"/>
  <c r="P36" i="1" s="1"/>
  <c r="R36" i="1" s="1"/>
  <c r="O10" i="1"/>
  <c r="P10" i="1" s="1"/>
  <c r="R10" i="1" s="1"/>
  <c r="O9" i="1"/>
  <c r="P9" i="1" s="1"/>
  <c r="R9" i="1" s="1"/>
  <c r="O26" i="1"/>
  <c r="P26" i="1" s="1"/>
  <c r="R26" i="1" s="1"/>
  <c r="O5" i="1"/>
  <c r="P5" i="1" s="1"/>
  <c r="R5" i="1" s="1"/>
  <c r="O11" i="1"/>
  <c r="P11" i="1" s="1"/>
  <c r="R11" i="1" s="1"/>
  <c r="O32" i="1"/>
  <c r="P32" i="1" s="1"/>
  <c r="R32" i="1" s="1"/>
  <c r="O6" i="1"/>
  <c r="P6" i="1" s="1"/>
  <c r="R6" i="1" s="1"/>
  <c r="O18" i="1"/>
  <c r="P18" i="1" s="1"/>
  <c r="R18" i="1" s="1"/>
  <c r="O31" i="1"/>
  <c r="P31" i="1" s="1"/>
  <c r="R31" i="1" s="1"/>
  <c r="O51" i="1"/>
  <c r="P51" i="1" s="1"/>
  <c r="R51" i="1" s="1"/>
  <c r="O40" i="1"/>
  <c r="P40" i="1" s="1"/>
  <c r="R40" i="1" s="1"/>
  <c r="O49" i="1"/>
  <c r="P49" i="1" s="1"/>
  <c r="R49" i="1" s="1"/>
  <c r="O21" i="1"/>
  <c r="P21" i="1" s="1"/>
  <c r="R21" i="1" s="1"/>
  <c r="O17" i="1"/>
  <c r="P17" i="1" s="1"/>
  <c r="R17" i="1" s="1"/>
  <c r="O28" i="1"/>
  <c r="P28" i="1" s="1"/>
  <c r="R28" i="1" s="1"/>
  <c r="O24" i="1"/>
  <c r="P24" i="1" s="1"/>
  <c r="R24" i="1" s="1"/>
  <c r="O39" i="1"/>
  <c r="P39" i="1" s="1"/>
  <c r="R39" i="1" s="1"/>
  <c r="O38" i="1"/>
  <c r="P38" i="1" s="1"/>
  <c r="R38" i="1" s="1"/>
  <c r="O33" i="1"/>
  <c r="P33" i="1" s="1"/>
  <c r="R33" i="1" s="1"/>
  <c r="O46" i="1"/>
  <c r="P46" i="1" s="1"/>
  <c r="R46" i="1" s="1"/>
  <c r="O12" i="1"/>
  <c r="P12" i="1" s="1"/>
  <c r="R12" i="1" s="1"/>
  <c r="O42" i="1"/>
  <c r="P42" i="1" s="1"/>
  <c r="R42" i="1" s="1"/>
  <c r="O37" i="1"/>
  <c r="P37" i="1" s="1"/>
  <c r="R37" i="1" s="1"/>
  <c r="O16" i="1"/>
  <c r="P16" i="1" s="1"/>
  <c r="R16" i="1" s="1"/>
  <c r="O48" i="1"/>
  <c r="P48" i="1" s="1"/>
  <c r="R48" i="1" s="1"/>
  <c r="O52" i="1"/>
  <c r="P52" i="1" s="1"/>
  <c r="R52" i="1" s="1"/>
  <c r="O47" i="1"/>
  <c r="P47" i="1" s="1"/>
  <c r="R47" i="1" s="1"/>
  <c r="O44" i="1"/>
  <c r="P44" i="1" s="1"/>
  <c r="R44" i="1" s="1"/>
  <c r="O22" i="1"/>
  <c r="P22" i="1" s="1"/>
  <c r="R22" i="1" s="1"/>
  <c r="O30" i="1"/>
  <c r="P30" i="1" s="1"/>
  <c r="R30" i="1" s="1"/>
  <c r="O4" i="1"/>
  <c r="P4" i="1" s="1"/>
  <c r="R4" i="1" s="1"/>
  <c r="O53" i="1"/>
  <c r="P53" i="1" s="1"/>
  <c r="R53" i="1" s="1"/>
  <c r="O23" i="1"/>
  <c r="P23" i="1" s="1"/>
  <c r="R23" i="1" s="1"/>
  <c r="O43" i="1"/>
  <c r="P43" i="1" s="1"/>
  <c r="R43" i="1" s="1"/>
  <c r="O29" i="1"/>
  <c r="P29" i="1" s="1"/>
  <c r="R29" i="1" s="1"/>
  <c r="O8" i="1"/>
  <c r="P8" i="1" s="1"/>
  <c r="R8" i="1" s="1"/>
  <c r="O15" i="1"/>
  <c r="P15" i="1" s="1"/>
  <c r="R15" i="1" s="1"/>
  <c r="O14" i="1"/>
  <c r="P14" i="1" s="1"/>
  <c r="R14" i="1" s="1"/>
  <c r="O34" i="1"/>
  <c r="P34" i="1" s="1"/>
  <c r="R34" i="1" s="1"/>
  <c r="O35" i="1"/>
  <c r="P35" i="1" s="1"/>
  <c r="R35" i="1" s="1"/>
  <c r="O20" i="1"/>
  <c r="P20" i="1" s="1"/>
  <c r="R20" i="1" s="1"/>
  <c r="O19" i="1"/>
  <c r="P19" i="1" s="1"/>
  <c r="R19" i="1" s="1"/>
  <c r="O45" i="1"/>
  <c r="P45" i="1" s="1"/>
  <c r="R45" i="1" s="1"/>
  <c r="O41" i="1"/>
  <c r="P41" i="1" s="1"/>
  <c r="R41" i="1" s="1"/>
  <c r="O7" i="1"/>
  <c r="P7" i="1" s="1"/>
  <c r="R7" i="1" s="1"/>
  <c r="C1" i="2"/>
  <c r="B1" i="2"/>
  <c r="A1" i="2"/>
  <c r="K2" i="1" l="1"/>
  <c r="K3" i="1"/>
  <c r="L2" i="1"/>
  <c r="L3" i="1"/>
  <c r="N2" i="1" l="1"/>
  <c r="M2" i="1"/>
  <c r="N3" i="1"/>
  <c r="M3" i="1"/>
  <c r="O2" i="1" l="1"/>
  <c r="P2" i="1" s="1"/>
  <c r="R2" i="1" s="1"/>
  <c r="X2" i="1" s="1"/>
  <c r="W3" i="1" s="1"/>
  <c r="O3" i="1"/>
  <c r="P3" i="1" s="1"/>
  <c r="R3" i="1" s="1"/>
  <c r="Y2" i="1" l="1"/>
  <c r="X3" i="1"/>
  <c r="W4" i="1" s="1"/>
  <c r="X4" i="1" s="1"/>
  <c r="W5" i="1" l="1"/>
  <c r="X5" i="1" s="1"/>
  <c r="Y3" i="1"/>
  <c r="Y4" i="1" s="1"/>
  <c r="Z4" i="1" s="1"/>
  <c r="Y5" i="1" l="1"/>
  <c r="Z5" i="1" s="1"/>
  <c r="W6" i="1"/>
  <c r="X6" i="1" s="1"/>
  <c r="W7" i="1" l="1"/>
  <c r="X7" i="1" s="1"/>
  <c r="Y6" i="1"/>
  <c r="Z6" i="1" s="1"/>
  <c r="W8" i="1" l="1"/>
  <c r="X8" i="1" s="1"/>
  <c r="Y7" i="1"/>
  <c r="Z7" i="1" s="1"/>
  <c r="Y8" i="1" l="1"/>
  <c r="Z8" i="1" s="1"/>
  <c r="W9" i="1"/>
  <c r="X9" i="1" s="1"/>
  <c r="W10" i="1" l="1"/>
  <c r="X10" i="1" s="1"/>
  <c r="Y9" i="1"/>
  <c r="Z9" i="1" s="1"/>
  <c r="W11" i="1" l="1"/>
  <c r="X11" i="1" s="1"/>
  <c r="Y10" i="1"/>
  <c r="Z10" i="1" s="1"/>
  <c r="Y11" i="1" l="1"/>
  <c r="Z11" i="1" s="1"/>
  <c r="W12" i="1"/>
  <c r="X12" i="1" s="1"/>
  <c r="Y12" i="1" l="1"/>
  <c r="Z12" i="1" s="1"/>
  <c r="W13" i="1"/>
  <c r="X13" i="1" s="1"/>
  <c r="W14" i="1" l="1"/>
  <c r="X14" i="1" s="1"/>
  <c r="Y13" i="1"/>
  <c r="Z13" i="1" s="1"/>
  <c r="Y14" i="1" l="1"/>
  <c r="Z14" i="1" s="1"/>
  <c r="W15" i="1"/>
  <c r="X15" i="1" s="1"/>
  <c r="Y15" i="1" l="1"/>
  <c r="Z15" i="1" s="1"/>
  <c r="W16" i="1"/>
  <c r="X16" i="1" s="1"/>
  <c r="W17" i="1" l="1"/>
  <c r="X17" i="1" s="1"/>
  <c r="Y16" i="1"/>
  <c r="Z16" i="1" s="1"/>
  <c r="Y17" i="1" l="1"/>
  <c r="Z17" i="1" s="1"/>
  <c r="W18" i="1"/>
  <c r="X18" i="1" s="1"/>
  <c r="W19" i="1" l="1"/>
  <c r="X19" i="1" s="1"/>
  <c r="Y18" i="1"/>
  <c r="Z18" i="1" s="1"/>
  <c r="W20" i="1" l="1"/>
  <c r="X20" i="1" s="1"/>
  <c r="Y19" i="1"/>
  <c r="Z19" i="1" s="1"/>
  <c r="Y20" i="1" l="1"/>
  <c r="Z20" i="1" s="1"/>
  <c r="W21" i="1"/>
  <c r="X21" i="1" s="1"/>
  <c r="Y21" i="1" l="1"/>
  <c r="Z21" i="1" s="1"/>
  <c r="W22" i="1"/>
  <c r="X22" i="1" s="1"/>
  <c r="W23" i="1" l="1"/>
  <c r="X23" i="1" s="1"/>
  <c r="Y22" i="1"/>
  <c r="Z22" i="1" s="1"/>
  <c r="Y23" i="1" l="1"/>
  <c r="Z23" i="1" s="1"/>
  <c r="W24" i="1"/>
  <c r="X24" i="1" s="1"/>
  <c r="W25" i="1" l="1"/>
  <c r="X25" i="1" s="1"/>
  <c r="Y24" i="1"/>
  <c r="Z24" i="1" s="1"/>
  <c r="W26" i="1" l="1"/>
  <c r="X26" i="1" s="1"/>
  <c r="Y25" i="1"/>
  <c r="Z25" i="1" s="1"/>
  <c r="Y26" i="1" l="1"/>
  <c r="Z26" i="1" s="1"/>
  <c r="W27" i="1"/>
  <c r="X27" i="1" s="1"/>
  <c r="Y27" i="1" l="1"/>
  <c r="Z27" i="1" s="1"/>
  <c r="W28" i="1"/>
  <c r="X28" i="1" s="1"/>
  <c r="W29" i="1" l="1"/>
  <c r="X29" i="1" s="1"/>
  <c r="Y28" i="1"/>
  <c r="Z28" i="1" s="1"/>
  <c r="Y29" i="1" l="1"/>
  <c r="Z29" i="1" s="1"/>
  <c r="W30" i="1"/>
  <c r="X30" i="1" s="1"/>
  <c r="W31" i="1" l="1"/>
  <c r="X31" i="1" s="1"/>
  <c r="Y30" i="1"/>
  <c r="Z30" i="1" s="1"/>
  <c r="W32" i="1" l="1"/>
  <c r="X32" i="1" s="1"/>
  <c r="Y31" i="1"/>
  <c r="Z31" i="1" s="1"/>
  <c r="Y32" i="1" l="1"/>
  <c r="Z32" i="1" s="1"/>
  <c r="W33" i="1"/>
  <c r="X33" i="1" s="1"/>
  <c r="Y33" i="1" l="1"/>
  <c r="Z33" i="1" s="1"/>
  <c r="W34" i="1"/>
  <c r="X34" i="1" s="1"/>
  <c r="W35" i="1" l="1"/>
  <c r="X35" i="1" s="1"/>
  <c r="Y34" i="1"/>
  <c r="Z34" i="1" s="1"/>
  <c r="Y35" i="1" l="1"/>
  <c r="Z35" i="1" s="1"/>
  <c r="W36" i="1"/>
  <c r="X36" i="1" s="1"/>
  <c r="W37" i="1" l="1"/>
  <c r="X37" i="1" s="1"/>
  <c r="Y36" i="1"/>
  <c r="Z36" i="1" s="1"/>
  <c r="W38" i="1" l="1"/>
  <c r="X38" i="1" s="1"/>
  <c r="Y37" i="1"/>
  <c r="Z37" i="1" s="1"/>
  <c r="Y38" i="1" l="1"/>
  <c r="Z38" i="1" s="1"/>
  <c r="W39" i="1"/>
  <c r="X39" i="1" s="1"/>
  <c r="W40" i="1" l="1"/>
  <c r="X40" i="1" s="1"/>
  <c r="Y39" i="1"/>
  <c r="Z39" i="1" s="1"/>
  <c r="W41" i="1" l="1"/>
  <c r="X41" i="1" s="1"/>
  <c r="Y40" i="1"/>
  <c r="Z40" i="1" s="1"/>
  <c r="Y41" i="1" l="1"/>
  <c r="Z41" i="1" s="1"/>
  <c r="W42" i="1"/>
  <c r="X42" i="1" s="1"/>
  <c r="W43" i="1" l="1"/>
  <c r="X43" i="1" s="1"/>
  <c r="Y42" i="1"/>
  <c r="Z42" i="1" s="1"/>
  <c r="W44" i="1" l="1"/>
  <c r="X44" i="1" s="1"/>
  <c r="Y43" i="1"/>
  <c r="Z43" i="1" s="1"/>
  <c r="Y44" i="1" l="1"/>
  <c r="Z44" i="1" s="1"/>
  <c r="W45" i="1"/>
  <c r="X45" i="1" s="1"/>
  <c r="Y45" i="1" l="1"/>
  <c r="Z45" i="1" s="1"/>
  <c r="W46" i="1"/>
  <c r="X46" i="1" s="1"/>
  <c r="W47" i="1" l="1"/>
  <c r="X47" i="1" s="1"/>
  <c r="Y46" i="1"/>
  <c r="Z46" i="1" s="1"/>
  <c r="Y47" i="1" l="1"/>
  <c r="Z47" i="1" s="1"/>
  <c r="W48" i="1"/>
  <c r="X48" i="1" s="1"/>
  <c r="W49" i="1" l="1"/>
  <c r="X49" i="1" s="1"/>
  <c r="Y48" i="1"/>
  <c r="Z48" i="1" s="1"/>
  <c r="W50" i="1" l="1"/>
  <c r="X50" i="1" s="1"/>
  <c r="Y49" i="1"/>
  <c r="Z49" i="1" s="1"/>
  <c r="Y50" i="1" l="1"/>
  <c r="Z50" i="1" s="1"/>
  <c r="W51" i="1"/>
  <c r="X51" i="1" s="1"/>
  <c r="Y51" i="1" l="1"/>
  <c r="Z51" i="1" s="1"/>
  <c r="W52" i="1"/>
  <c r="X52" i="1" s="1"/>
  <c r="Y52" i="1" l="1"/>
  <c r="Z52" i="1" s="1"/>
  <c r="W53" i="1"/>
  <c r="X53" i="1" s="1"/>
  <c r="Y53" i="1" l="1"/>
  <c r="Z53" i="1" s="1"/>
  <c r="W54" i="1"/>
  <c r="X54" i="1" s="1"/>
  <c r="Y54" i="1" l="1"/>
  <c r="Z54" i="1" s="1"/>
  <c r="W55" i="1"/>
  <c r="X55" i="1" s="1"/>
  <c r="W56" i="1" l="1"/>
  <c r="X56" i="1" s="1"/>
  <c r="Y55" i="1"/>
  <c r="Z55" i="1" s="1"/>
  <c r="Y56" i="1" l="1"/>
  <c r="Z56" i="1" s="1"/>
  <c r="W57" i="1"/>
  <c r="X57" i="1" s="1"/>
  <c r="Y57" i="1" s="1"/>
  <c r="Z57" i="1" s="1"/>
</calcChain>
</file>

<file path=xl/sharedStrings.xml><?xml version="1.0" encoding="utf-8"?>
<sst xmlns="http://schemas.openxmlformats.org/spreadsheetml/2006/main" count="362" uniqueCount="102">
  <si>
    <t>N</t>
  </si>
  <si>
    <t>W</t>
  </si>
  <si>
    <t>WHOI OBS I.D.</t>
  </si>
  <si>
    <t>Site Name</t>
  </si>
  <si>
    <t>Site Latitude (deg)</t>
    <phoneticPr fontId="0"/>
  </si>
  <si>
    <t>Site Latitude (min)</t>
    <phoneticPr fontId="0"/>
  </si>
  <si>
    <t>Site Latitude (hemi)</t>
    <phoneticPr fontId="0"/>
  </si>
  <si>
    <t>Site Longitude (deg)</t>
    <phoneticPr fontId="0"/>
  </si>
  <si>
    <t>Site Longitude (min)</t>
    <phoneticPr fontId="0"/>
  </si>
  <si>
    <t>Site Longitude (hemi)</t>
    <phoneticPr fontId="0"/>
  </si>
  <si>
    <t>Station Depth (m)</t>
  </si>
  <si>
    <t>Site Latitude (decimal degrees)</t>
    <phoneticPr fontId="0"/>
  </si>
  <si>
    <t>Site Longitude (decimal degrees)</t>
    <phoneticPr fontId="0"/>
  </si>
  <si>
    <t>Site Co-Latitude (radians)</t>
    <phoneticPr fontId="1"/>
  </si>
  <si>
    <t>Site Longitude (radians)</t>
    <phoneticPr fontId="1"/>
  </si>
  <si>
    <t>Distance to Following Site (km)</t>
    <phoneticPr fontId="1"/>
  </si>
  <si>
    <t>Distance to Following Site (nm)</t>
    <phoneticPr fontId="1"/>
  </si>
  <si>
    <t>Ship Speed (knots)</t>
    <phoneticPr fontId="1"/>
  </si>
  <si>
    <t>Time to Following Site (decimal hrs)</t>
    <phoneticPr fontId="1"/>
  </si>
  <si>
    <t>Time On Site (hours)</t>
    <phoneticPr fontId="1"/>
  </si>
  <si>
    <t>Cumulative Time (days)</t>
  </si>
  <si>
    <t>On_site Prep. Time (hours)</t>
  </si>
  <si>
    <t>OBS Fall Time (hours)</t>
  </si>
  <si>
    <t>OBS Survey Time (hours)</t>
  </si>
  <si>
    <t>Site Departure Date and Time (local)</t>
  </si>
  <si>
    <t>Arrival Time Next Site (local)</t>
  </si>
  <si>
    <t>Cumulative Time to Next Station  (hrs)</t>
  </si>
  <si>
    <t>S</t>
  </si>
  <si>
    <t>WP-Out-01</t>
  </si>
  <si>
    <t>WP-Ret-01</t>
  </si>
  <si>
    <t>WP-Ret-03</t>
  </si>
  <si>
    <t>WP-Ret-02</t>
  </si>
  <si>
    <t>San Diego (MARFAC)</t>
  </si>
  <si>
    <t>G10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</si>
  <si>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</si>
  <si>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</si>
  <si>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</si>
  <si>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</si>
  <si>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</si>
  <si>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</si>
  <si>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</si>
  <si>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</si>
  <si>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</si>
  <si>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G11</t>
  </si>
  <si>
    <t>G12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</si>
  <si>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</si>
  <si>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</si>
  <si>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</si>
  <si>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</si>
  <si>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</si>
  <si>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</si>
  <si>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</si>
  <si>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</si>
  <si>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</si>
  <si>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</si>
  <si>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</si>
  <si>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F01_01</t>
  </si>
  <si>
    <t>F01_02</t>
  </si>
  <si>
    <t>F01_03</t>
  </si>
  <si>
    <t>F01_04</t>
  </si>
  <si>
    <t>F01_05</t>
  </si>
  <si>
    <t>F01_06</t>
  </si>
  <si>
    <t>F01_07</t>
  </si>
  <si>
    <t>F02_01</t>
  </si>
  <si>
    <t>F02_02</t>
  </si>
  <si>
    <t>F02_03</t>
  </si>
  <si>
    <t>F02_04</t>
  </si>
  <si>
    <t>F02_05</t>
  </si>
  <si>
    <t>F02_06</t>
  </si>
  <si>
    <t>F02_07</t>
  </si>
  <si>
    <t>F03_01</t>
  </si>
  <si>
    <t>F03_02</t>
  </si>
  <si>
    <t>F03_03</t>
  </si>
  <si>
    <t>F03_04</t>
  </si>
  <si>
    <t>F03_05</t>
  </si>
  <si>
    <t>F03_06</t>
  </si>
  <si>
    <t>F03_07</t>
  </si>
  <si>
    <t>F04_01</t>
  </si>
  <si>
    <t>F04_02</t>
  </si>
  <si>
    <t>F04_03</t>
  </si>
  <si>
    <t>F04_04</t>
  </si>
  <si>
    <t>F04_05</t>
  </si>
  <si>
    <t>F04_06</t>
  </si>
  <si>
    <t>F04_07</t>
  </si>
  <si>
    <t>XX</t>
  </si>
  <si>
    <t>Ship Transit Speed (knots)</t>
  </si>
  <si>
    <t>OBS Rise Rate (meters/minute)</t>
  </si>
  <si>
    <t>On-Station BBOBS Prep. Time (hours)</t>
  </si>
  <si>
    <t>On-Station SPOBS Prep. Time (hours)</t>
  </si>
  <si>
    <t>On-bottom Positioning Time (hours)</t>
  </si>
  <si>
    <t>Wire-In Rate (meters/minute)</t>
  </si>
  <si>
    <t>Manzanillo</t>
  </si>
  <si>
    <t>Water Depth (km)</t>
  </si>
  <si>
    <t>Wire-Out Rate Abalone  (meters/minute)</t>
  </si>
  <si>
    <t>Wire-Out Rate SPOBS (meters/minute)</t>
  </si>
  <si>
    <t>OBS Type</t>
  </si>
  <si>
    <t>SMOBS</t>
  </si>
  <si>
    <t>ARRA</t>
  </si>
  <si>
    <t>SPOBS</t>
  </si>
  <si>
    <t>Abalone</t>
  </si>
  <si>
    <t>OBS Fall Rate BBOBS  (meters/minute)</t>
  </si>
  <si>
    <t>OBS Fall Rate ARRA  (meters/minute)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</si>
</sst>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0.000"/>
    <numFmt numFmtId="166" formatCode="0.0"/>
    <numFmt numFmtId="167" formatCode="0.00000000"/>
    <numFmt numFmtId="168" formatCode="0.0000"/>
    <numFmt numFmtId="169" formatCode="yyyy\-mm\-dd\ hh:mm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/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65" fontId="0" fillId="2" borderId="1" xfId="0" applyNumberFormat="1" applyFill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top" wrapText="1"/>
    </xf>
    <xf numFmtId="22" fontId="0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Font="1" applyFill="1" applyBorder="1" applyAlignment="1">
      <alignment horizontal="center" vertical="top" wrapText="1"/>
    </xf>
    <xf numFmtId="22" fontId="0" fillId="0" borderId="0" xfId="0" applyNumberForma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8" fontId="0" fillId="0" borderId="0" xfId="0" applyNumberFormat="1" applyFill="1" applyBorder="1" applyAlignment="1">
      <alignment horizontal="center" vertical="top" wrapText="1"/>
    </xf>
    <xf numFmtId="168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Border="1" applyAlignment="1">
      <alignment horizontal="center" vertical="top" wrapText="1"/>
    </xf>
    <xf numFmtId="168" fontId="0" fillId="3" borderId="0" xfId="0" applyNumberFormat="1" applyFill="1" applyBorder="1" applyAlignment="1">
      <alignment horizontal="center" vertical="top" wrapText="1"/>
    </xf>
    <xf numFmtId="164" fontId="0" fillId="3" borderId="0" xfId="0" applyNumberFormat="1" applyFont="1" applyFill="1" applyAlignment="1">
      <alignment horizontal="center"/>
    </xf>
    <xf numFmtId="167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Border="1" applyAlignment="1">
      <alignment horizontal="center" vertical="top" wrapText="1"/>
    </xf>
    <xf numFmtId="166" fontId="0" fillId="3" borderId="0" xfId="0" applyNumberFormat="1" applyFont="1" applyFill="1" applyBorder="1" applyAlignment="1">
      <alignment horizontal="center" vertical="top" wrapText="1"/>
    </xf>
    <xf numFmtId="22" fontId="0" fillId="3" borderId="0" xfId="0" applyNumberFormat="1" applyFill="1" applyAlignment="1">
      <alignment horizontal="center"/>
    </xf>
    <xf numFmtId="22" fontId="0" fillId="3" borderId="0" xfId="0" applyNumberFormat="1" applyFont="1" applyFill="1" applyBorder="1" applyAlignment="1">
      <alignment horizontal="center" vertical="top" wrapText="1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69" fontId="0" fillId="3" borderId="0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9" fontId="0" fillId="0" borderId="0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167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6" fontId="0" fillId="4" borderId="0" xfId="0" applyNumberFormat="1" applyFont="1" applyFill="1" applyBorder="1" applyAlignment="1">
      <alignment horizontal="center" vertical="top" wrapText="1"/>
    </xf>
    <xf numFmtId="166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169" fontId="0" fillId="4" borderId="0" xfId="0" applyNumberFormat="1" applyFont="1" applyFill="1" applyBorder="1" applyAlignment="1">
      <alignment horizontal="center" vertical="top" wrapText="1"/>
    </xf>
    <xf numFmtId="168" fontId="0" fillId="0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right"/>
    </xf>
  </cellXfs>
  <cellStyles count="2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-2065873960"/>
        <c:axId val="-2066567912"/>
      </c:scatterChart>
      <c:valAx>
        <c:axId val="-20658739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66567912"/>
        <c:crosses val="autoZero"/>
        <c:crossBetween val="midCat"/>
      </c:valAx>
      <c:valAx>
        <c:axId val="-20665679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-20658739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Map!$B$2:$B$52</c:f>
              <c:numCache>
                <c:formatCode>0.00000</c:formatCode>
                <c:ptCount val="51"/>
                <c:pt idx="0">
                  <c:v>-106.07022666666667</c:v>
                </c:pt>
                <c:pt idx="1">
                  <c:v>-105.98141666666666</c:v>
                </c:pt>
                <c:pt idx="2">
                  <c:v>-105.89261</c:v>
                </c:pt>
                <c:pt idx="3">
                  <c:v>-105.80444666666666</c:v>
                </c:pt>
                <c:pt idx="4">
                  <c:v>-105.71563666666667</c:v>
                </c:pt>
                <c:pt idx="5">
                  <c:v>-105.62682833333334</c:v>
                </c:pt>
                <c:pt idx="6">
                  <c:v>-105.639315</c:v>
                </c:pt>
                <c:pt idx="7">
                  <c:v>-105.684045</c:v>
                </c:pt>
                <c:pt idx="8">
                  <c:v>-105.72812500000001</c:v>
                </c:pt>
                <c:pt idx="9">
                  <c:v>-105.772205</c:v>
                </c:pt>
                <c:pt idx="10">
                  <c:v>-105.81693333333334</c:v>
                </c:pt>
                <c:pt idx="11">
                  <c:v>-105.86101499999999</c:v>
                </c:pt>
                <c:pt idx="12">
                  <c:v>-105.905095</c:v>
                </c:pt>
                <c:pt idx="13">
                  <c:v>-105.94982333333333</c:v>
                </c:pt>
                <c:pt idx="14">
                  <c:v>-105.99390333333334</c:v>
                </c:pt>
                <c:pt idx="15">
                  <c:v>-106.03798333333333</c:v>
                </c:pt>
                <c:pt idx="16">
                  <c:v>-106.08271333333333</c:v>
                </c:pt>
                <c:pt idx="17">
                  <c:v>-106.09520000000001</c:v>
                </c:pt>
                <c:pt idx="18">
                  <c:v>-106.00703833333333</c:v>
                </c:pt>
                <c:pt idx="19">
                  <c:v>-105.91822999999999</c:v>
                </c:pt>
                <c:pt idx="20">
                  <c:v>-105.82942166666666</c:v>
                </c:pt>
                <c:pt idx="21">
                  <c:v>-105.74126</c:v>
                </c:pt>
                <c:pt idx="22">
                  <c:v>-105.65180166666667</c:v>
                </c:pt>
                <c:pt idx="23">
                  <c:v>-105.92972833333333</c:v>
                </c:pt>
                <c:pt idx="24">
                  <c:v>-105.92972833333333</c:v>
                </c:pt>
                <c:pt idx="25">
                  <c:v>-105.92972833333333</c:v>
                </c:pt>
                <c:pt idx="26">
                  <c:v>-105.92972833333333</c:v>
                </c:pt>
                <c:pt idx="27">
                  <c:v>-105.92972833333333</c:v>
                </c:pt>
                <c:pt idx="28">
                  <c:v>-105.92972833333333</c:v>
                </c:pt>
                <c:pt idx="29">
                  <c:v>-105.92972833333333</c:v>
                </c:pt>
                <c:pt idx="30">
                  <c:v>-105.94986166666666</c:v>
                </c:pt>
                <c:pt idx="31">
                  <c:v>-105.94986166666666</c:v>
                </c:pt>
                <c:pt idx="32">
                  <c:v>-105.94986166666666</c:v>
                </c:pt>
                <c:pt idx="33">
                  <c:v>-105.94986166666666</c:v>
                </c:pt>
                <c:pt idx="34">
                  <c:v>-105.94986166666666</c:v>
                </c:pt>
                <c:pt idx="35">
                  <c:v>-105.94986166666666</c:v>
                </c:pt>
                <c:pt idx="36">
                  <c:v>-105.94986166666666</c:v>
                </c:pt>
                <c:pt idx="37">
                  <c:v>-105.96991666666666</c:v>
                </c:pt>
                <c:pt idx="38">
                  <c:v>-105.96991666666666</c:v>
                </c:pt>
                <c:pt idx="39">
                  <c:v>-105.96991666666666</c:v>
                </c:pt>
                <c:pt idx="40">
                  <c:v>-105.96991666666666</c:v>
                </c:pt>
                <c:pt idx="41">
                  <c:v>-105.96991666666666</c:v>
                </c:pt>
                <c:pt idx="42">
                  <c:v>-105.96991666666666</c:v>
                </c:pt>
                <c:pt idx="43">
                  <c:v>-105.96991666666666</c:v>
                </c:pt>
                <c:pt idx="44">
                  <c:v>-105.94395333333334</c:v>
                </c:pt>
                <c:pt idx="45">
                  <c:v>-105.94395333333334</c:v>
                </c:pt>
                <c:pt idx="46">
                  <c:v>-105.94395333333334</c:v>
                </c:pt>
                <c:pt idx="47">
                  <c:v>-105.94395333333334</c:v>
                </c:pt>
                <c:pt idx="48">
                  <c:v>-105.94395333333334</c:v>
                </c:pt>
                <c:pt idx="49">
                  <c:v>-105.94395333333334</c:v>
                </c:pt>
                <c:pt idx="50">
                  <c:v>-105.94395333333334</c:v>
                </c:pt>
              </c:numCache>
            </c:numRef>
          </c:xVal>
          <c:yVal>
            <c:numRef>
              <c:f>Map!$C$2:$C$52</c:f>
              <c:numCache>
                <c:formatCode>0.00000</c:formatCode>
                <c:ptCount val="51"/>
                <c:pt idx="0">
                  <c:v>-4.5032933333333336</c:v>
                </c:pt>
                <c:pt idx="1">
                  <c:v>-4.5177716666666665</c:v>
                </c:pt>
                <c:pt idx="2">
                  <c:v>-4.5328816666666665</c:v>
                </c:pt>
                <c:pt idx="3">
                  <c:v>-4.5467316666666662</c:v>
                </c:pt>
                <c:pt idx="4">
                  <c:v>-4.56121</c:v>
                </c:pt>
                <c:pt idx="5">
                  <c:v>-4.5756899999999998</c:v>
                </c:pt>
                <c:pt idx="6">
                  <c:v>-4.6424216666666664</c:v>
                </c:pt>
                <c:pt idx="7">
                  <c:v>-4.6354966666666666</c:v>
                </c:pt>
                <c:pt idx="8">
                  <c:v>-4.6279416666666666</c:v>
                </c:pt>
                <c:pt idx="9">
                  <c:v>-4.6203866666666666</c:v>
                </c:pt>
                <c:pt idx="10">
                  <c:v>-4.6128333333333336</c:v>
                </c:pt>
                <c:pt idx="11">
                  <c:v>-4.6059083333333337</c:v>
                </c:pt>
                <c:pt idx="12">
                  <c:v>-4.5983533333333337</c:v>
                </c:pt>
                <c:pt idx="13">
                  <c:v>-4.591428333333333</c:v>
                </c:pt>
                <c:pt idx="14">
                  <c:v>-4.583873333333333</c:v>
                </c:pt>
                <c:pt idx="15">
                  <c:v>-4.5763199999999999</c:v>
                </c:pt>
                <c:pt idx="16">
                  <c:v>-4.5693950000000001</c:v>
                </c:pt>
                <c:pt idx="17">
                  <c:v>-4.6354966666666666</c:v>
                </c:pt>
                <c:pt idx="18">
                  <c:v>-4.6499749999999995</c:v>
                </c:pt>
                <c:pt idx="19">
                  <c:v>-4.6650849999999995</c:v>
                </c:pt>
                <c:pt idx="20">
                  <c:v>-4.6795633333333333</c:v>
                </c:pt>
                <c:pt idx="21">
                  <c:v>-4.6940433333333331</c:v>
                </c:pt>
                <c:pt idx="22">
                  <c:v>-4.7085233333333338</c:v>
                </c:pt>
                <c:pt idx="23">
                  <c:v>-4.5945766666666668</c:v>
                </c:pt>
                <c:pt idx="24">
                  <c:v>-4.5945766666666668</c:v>
                </c:pt>
                <c:pt idx="25">
                  <c:v>-4.5945766666666668</c:v>
                </c:pt>
                <c:pt idx="26">
                  <c:v>-4.5945766666666668</c:v>
                </c:pt>
                <c:pt idx="27">
                  <c:v>-4.5945766666666668</c:v>
                </c:pt>
                <c:pt idx="28">
                  <c:v>-4.5945766666666668</c:v>
                </c:pt>
                <c:pt idx="29">
                  <c:v>-4.5945766666666668</c:v>
                </c:pt>
                <c:pt idx="30">
                  <c:v>-4.606538333333333</c:v>
                </c:pt>
                <c:pt idx="31">
                  <c:v>-4.606538333333333</c:v>
                </c:pt>
                <c:pt idx="32">
                  <c:v>-4.606538333333333</c:v>
                </c:pt>
                <c:pt idx="33">
                  <c:v>-4.606538333333333</c:v>
                </c:pt>
                <c:pt idx="34">
                  <c:v>-4.606538333333333</c:v>
                </c:pt>
                <c:pt idx="35">
                  <c:v>-4.606538333333333</c:v>
                </c:pt>
                <c:pt idx="36">
                  <c:v>-4.606538333333333</c:v>
                </c:pt>
                <c:pt idx="37">
                  <c:v>-4.5870216666666668</c:v>
                </c:pt>
                <c:pt idx="38">
                  <c:v>-4.5870216666666668</c:v>
                </c:pt>
                <c:pt idx="39">
                  <c:v>-4.5870216666666668</c:v>
                </c:pt>
                <c:pt idx="40">
                  <c:v>-4.5870216666666668</c:v>
                </c:pt>
                <c:pt idx="41">
                  <c:v>-4.5870216666666668</c:v>
                </c:pt>
                <c:pt idx="42">
                  <c:v>-4.5870216666666668</c:v>
                </c:pt>
                <c:pt idx="43">
                  <c:v>-4.5870216666666668</c:v>
                </c:pt>
                <c:pt idx="44">
                  <c:v>-4.5775783333333333</c:v>
                </c:pt>
                <c:pt idx="45">
                  <c:v>-4.5775783333333333</c:v>
                </c:pt>
                <c:pt idx="46">
                  <c:v>-4.5775783333333333</c:v>
                </c:pt>
                <c:pt idx="47">
                  <c:v>-4.5775783333333333</c:v>
                </c:pt>
                <c:pt idx="48">
                  <c:v>-4.5775783333333333</c:v>
                </c:pt>
                <c:pt idx="49">
                  <c:v>-4.5775783333333333</c:v>
                </c:pt>
                <c:pt idx="50">
                  <c:v>-4.5775783333333333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78-4540-8780-8A22CB801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6558008"/>
        <c:axId val="-2066439480"/>
      </c:scatterChart>
      <c:valAx>
        <c:axId val="-2066558008"/>
        <c:scaling>
          <c:orientation val="minMax"/>
        </c:scaling>
        <c:delete val="0"/>
        <c:axPos val="b"/>
        <c:numFmt formatCode="0.00000" sourceLinked="1"/>
        <c:majorTickMark val="out"/>
        <c:minorTickMark val="none"/>
        <c:tickLblPos val="nextTo"/>
        <c:crossAx val="-2066439480"/>
        <c:crosses val="autoZero"/>
        <c:crossBetween val="midCat"/>
      </c:valAx>
      <c:valAx>
        <c:axId val="-2066439480"/>
        <c:scaling>
          <c:orientation val="minMax"/>
        </c:scaling>
        <c:delete val="0"/>
        <c:axPos val="l"/>
        <c:majorGridlines/>
        <c:numFmt formatCode="0.00000" sourceLinked="1"/>
        <c:majorTickMark val="out"/>
        <c:minorTickMark val="none"/>
        <c:tickLblPos val="nextTo"/>
        <c:crossAx val="-2066558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768350</xdr:colOff>
      <xdr:row>1</xdr:row>
      <xdr:rowOff>0</xdr:rowOff>
    </xdr:from>
    <xdr:to>
      <xdr:col>24</xdr:col>
      <xdr:colOff>387350</xdr:colOff>
      <xdr:row>13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393700</xdr:colOff>
      <xdr:row>1</xdr:row>
      <xdr:rowOff>0</xdr:rowOff>
    </xdr:from>
    <xdr:to>
      <xdr:col>20</xdr:col>
      <xdr:colOff>647700</xdr:colOff>
      <xdr:row>39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7859-1FD1-9B4F-B75B-4E14EB2A762D}">
  <dimension ref="C3:D18"/>
  <sheetViews>
    <sheetView tabSelected="1" workbookViewId="0">
      <selection activeCell="D9" sqref="D9"/>
    </sheetView>
  </sheetViews>
  <sheetFormatPr baseColWidth="10" defaultRowHeight="16" x14ac:dyDescent="0.2"/>
  <cols>
    <col min="3" max="3" width="41.5" customWidth="1"/>
    <col min="4" max="4" width="18.1640625" customWidth="1"/>
  </cols>
  <sheetData>
    <row r="3" spans="3:4" x14ac:dyDescent="0.2">
      <c r="C3" t="s">
        <v>85</v>
      </c>
      <c r="D3">
        <v>11</v>
      </c>
    </row>
    <row r="5" spans="3:4" x14ac:dyDescent="0.2">
      <c r="C5" t="s">
        <v>87</v>
      </c>
      <c r="D5">
        <v>0.5</v>
      </c>
    </row>
    <row r="6" spans="3:4" x14ac:dyDescent="0.2">
      <c r="C6" t="s">
        <v>88</v>
      </c>
      <c r="D6">
        <v>0.5</v>
      </c>
    </row>
    <row r="8" spans="3:4" x14ac:dyDescent="0.2">
      <c r="C8" t="s">
        <v>100</v>
      </c>
      <c r="D8">
        <v>40</v>
      </c>
    </row>
    <row r="9" spans="3:4" x14ac:dyDescent="0.2">
      <c r="C9" t="s">
        <v>101</v>
      </c>
      <c r="D9">
        <v>50</v>
      </c>
    </row>
    <row r="10" spans="3:4" x14ac:dyDescent="0.2">
      <c r="C10" t="s">
        <v>86</v>
      </c>
      <c r="D10">
        <v>30</v>
      </c>
    </row>
    <row r="11" spans="3:4" x14ac:dyDescent="0.2">
      <c r="C11" t="s">
        <v>23</v>
      </c>
      <c r="D11">
        <v>1.25</v>
      </c>
    </row>
    <row r="13" spans="3:4" x14ac:dyDescent="0.2">
      <c r="C13" t="s">
        <v>94</v>
      </c>
      <c r="D13" s="49">
        <v>35</v>
      </c>
    </row>
    <row r="14" spans="3:4" x14ac:dyDescent="0.2">
      <c r="C14" t="s">
        <v>93</v>
      </c>
      <c r="D14">
        <v>45</v>
      </c>
    </row>
    <row r="15" spans="3:4" x14ac:dyDescent="0.2">
      <c r="C15" t="s">
        <v>90</v>
      </c>
      <c r="D15">
        <v>60</v>
      </c>
    </row>
    <row r="16" spans="3:4" x14ac:dyDescent="0.2">
      <c r="C16" t="s">
        <v>89</v>
      </c>
      <c r="D16">
        <v>0.5</v>
      </c>
    </row>
    <row r="18" spans="3:4" x14ac:dyDescent="0.2">
      <c r="C18" t="s">
        <v>92</v>
      </c>
      <c r="D18">
        <v>3700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4"/>
  <sheetViews>
    <sheetView showRuler="0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T27" sqref="T27"/>
    </sheetView>
  </sheetViews>
  <sheetFormatPr baseColWidth="10" defaultRowHeight="16" x14ac:dyDescent="0.2"/>
  <cols>
    <col min="1" max="2" width="25.1640625" customWidth="1"/>
    <col min="4" max="4" width="15.33203125" customWidth="1"/>
    <col min="5" max="5" width="14.83203125" customWidth="1"/>
    <col min="6" max="6" width="15.1640625" customWidth="1"/>
    <col min="7" max="7" width="15.33203125" customWidth="1"/>
    <col min="8" max="8" width="14.33203125" customWidth="1"/>
    <col min="9" max="9" width="13.83203125" customWidth="1"/>
    <col min="11" max="11" width="16.1640625" customWidth="1"/>
    <col min="12" max="12" width="17" customWidth="1"/>
    <col min="13" max="14" width="14.33203125" customWidth="1"/>
    <col min="15" max="15" width="16.6640625" customWidth="1"/>
    <col min="16" max="16" width="17.1640625" customWidth="1"/>
    <col min="18" max="21" width="15.83203125" customWidth="1"/>
    <col min="23" max="23" width="25.1640625" customWidth="1"/>
    <col min="24" max="24" width="21.6640625" customWidth="1"/>
    <col min="25" max="25" width="19.83203125" customWidth="1"/>
    <col min="26" max="26" width="14.5" customWidth="1"/>
  </cols>
  <sheetData>
    <row r="1" spans="1:26" ht="55" customHeight="1" x14ac:dyDescent="0.2">
      <c r="A1" s="5" t="s">
        <v>3</v>
      </c>
      <c r="B1" s="5" t="s">
        <v>95</v>
      </c>
      <c r="C1" s="5" t="s">
        <v>2</v>
      </c>
      <c r="D1" s="5" t="s">
        <v>4</v>
      </c>
      <c r="E1" s="7" t="s">
        <v>5</v>
      </c>
      <c r="F1" s="5" t="s">
        <v>6</v>
      </c>
      <c r="G1" s="5" t="s">
        <v>7</v>
      </c>
      <c r="H1" s="7" t="s">
        <v>8</v>
      </c>
      <c r="I1" s="5" t="s">
        <v>9</v>
      </c>
      <c r="J1" s="5" t="s">
        <v>10</v>
      </c>
      <c r="K1" s="7" t="s">
        <v>11</v>
      </c>
      <c r="L1" s="7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21</v>
      </c>
      <c r="T1" s="5" t="s">
        <v>22</v>
      </c>
      <c r="U1" s="5" t="s">
        <v>23</v>
      </c>
      <c r="V1" s="5" t="s">
        <v>19</v>
      </c>
      <c r="W1" s="5" t="s">
        <v>24</v>
      </c>
      <c r="X1" s="6" t="s">
        <v>25</v>
      </c>
      <c r="Y1" s="6" t="s">
        <v>26</v>
      </c>
      <c r="Z1" s="6" t="s">
        <v>20</v>
      </c>
    </row>
    <row r="2" spans="1:26" s="4" customFormat="1" ht="17" x14ac:dyDescent="0.2">
      <c r="A2" s="20" t="s">
        <v>32</v>
      </c>
      <c r="B2" s="20"/>
      <c r="C2" s="20"/>
      <c r="D2" s="20">
        <v>32</v>
      </c>
      <c r="E2" s="21">
        <v>42.433</v>
      </c>
      <c r="F2" s="20" t="s">
        <v>0</v>
      </c>
      <c r="G2" s="20">
        <v>117</v>
      </c>
      <c r="H2" s="21">
        <v>14.211</v>
      </c>
      <c r="I2" s="20" t="s">
        <v>1</v>
      </c>
      <c r="J2" s="20"/>
      <c r="K2" s="22">
        <f t="shared" ref="K2" si="0">IF(F2="N",D2+E2/60,-(D2+E2/60))</f>
        <v>32.707216666666667</v>
      </c>
      <c r="L2" s="22">
        <f t="shared" ref="L2" si="1">IF(I2="E",G2+H2/60,-(G2+H2/60))</f>
        <v>-117.23685</v>
      </c>
      <c r="M2" s="23">
        <f t="shared" ref="M2" si="2">RADIANS(90 - K2)</f>
        <v>0.99994770679839851</v>
      </c>
      <c r="N2" s="23">
        <f t="shared" ref="N2" si="3">RADIANS(L2)</f>
        <v>-2.0461690371667141</v>
      </c>
      <c r="O2" s="24">
        <f xml:space="preserve"> ROUND(ACOS( COS(M2)*COS(M3) + SIN(M2)*SIN(M3)*COS(N2-N3) ) * 6371,0)</f>
        <v>6</v>
      </c>
      <c r="P2" s="24">
        <f>ROUND(O2/1.852, 0)</f>
        <v>3</v>
      </c>
      <c r="Q2" s="25">
        <v>5</v>
      </c>
      <c r="R2" s="26">
        <f>ROUND(P2/Q2,1)</f>
        <v>0.6</v>
      </c>
      <c r="S2" s="26">
        <v>0</v>
      </c>
      <c r="T2" s="26">
        <v>0</v>
      </c>
      <c r="U2" s="26">
        <v>0</v>
      </c>
      <c r="V2" s="25">
        <v>0</v>
      </c>
      <c r="W2" s="31">
        <v>43785.416666666664</v>
      </c>
      <c r="X2" s="32">
        <f t="shared" ref="X2" si="4">W2  + R2/24</f>
        <v>43785.441666666666</v>
      </c>
      <c r="Y2" s="26">
        <f>(X2-W2)*24</f>
        <v>0.6000000000349246</v>
      </c>
      <c r="Z2" s="25">
        <v>0</v>
      </c>
    </row>
    <row r="3" spans="1:26" s="4" customFormat="1" ht="17" x14ac:dyDescent="0.2">
      <c r="A3" s="20" t="s">
        <v>28</v>
      </c>
      <c r="B3" s="20"/>
      <c r="C3" s="20"/>
      <c r="D3" s="20">
        <v>32</v>
      </c>
      <c r="E3" s="21">
        <v>39.021000000000001</v>
      </c>
      <c r="F3" s="20" t="s">
        <v>0</v>
      </c>
      <c r="G3" s="20">
        <v>117</v>
      </c>
      <c r="H3" s="21">
        <v>13.516</v>
      </c>
      <c r="I3" s="20" t="s">
        <v>1</v>
      </c>
      <c r="J3" s="20"/>
      <c r="K3" s="22">
        <f t="shared" ref="K3" si="5">IF(F3="N",D3+E3/60,-(D3+E3/60))</f>
        <v>32.650350000000003</v>
      </c>
      <c r="L3" s="22">
        <f t="shared" ref="L3" si="6">IF(I3="E",G3+H3/60,-(G3+H3/60))</f>
        <v>-117.22526666666667</v>
      </c>
      <c r="M3" s="23">
        <f t="shared" ref="M3" si="7">RADIANS(90 - K3)</f>
        <v>1.000940217366366</v>
      </c>
      <c r="N3" s="23">
        <f t="shared" ref="N3" si="8">RADIANS(L3)</f>
        <v>-2.0459668698616915</v>
      </c>
      <c r="O3" s="24">
        <f xml:space="preserve"> ROUND(ACOS( COS(M3)*COS(M4) + SIN(M3)*SIN(M4)*COS(N3-N4) ) * 6371,0)</f>
        <v>4296</v>
      </c>
      <c r="P3" s="24">
        <f>ROUND(O3/1.852, 0)</f>
        <v>2320</v>
      </c>
      <c r="Q3" s="26">
        <f>Assumptions!$D$3</f>
        <v>11</v>
      </c>
      <c r="R3" s="26">
        <f t="shared" ref="R3" si="9">ROUND(P3/Q3,1)</f>
        <v>210.9</v>
      </c>
      <c r="S3" s="26">
        <v>0</v>
      </c>
      <c r="T3" s="26">
        <v>0</v>
      </c>
      <c r="U3" s="26">
        <v>0</v>
      </c>
      <c r="V3" s="25">
        <v>0</v>
      </c>
      <c r="W3" s="31">
        <f>X2+V3/24</f>
        <v>43785.441666666666</v>
      </c>
      <c r="X3" s="32">
        <f>W3  + R3/24</f>
        <v>43794.229166666664</v>
      </c>
      <c r="Y3" s="26">
        <f>(X3-W3)*24 + (W3-X2)*24 + Y2</f>
        <v>211.5</v>
      </c>
      <c r="Z3" s="25">
        <v>0</v>
      </c>
    </row>
    <row r="4" spans="1:26" ht="21" customHeight="1" x14ac:dyDescent="0.2">
      <c r="A4" s="19" t="s">
        <v>34</v>
      </c>
      <c r="B4" s="19" t="s">
        <v>96</v>
      </c>
      <c r="C4" s="19" t="s">
        <v>84</v>
      </c>
      <c r="D4" s="19">
        <v>4</v>
      </c>
      <c r="E4" s="19">
        <v>30.197600000000001</v>
      </c>
      <c r="F4" s="19" t="s">
        <v>27</v>
      </c>
      <c r="G4" s="19">
        <v>106</v>
      </c>
      <c r="H4" s="19">
        <v>4.2135999999999996</v>
      </c>
      <c r="I4" s="19" t="s">
        <v>1</v>
      </c>
      <c r="J4" s="19">
        <f>Assumptions!$D$18</f>
        <v>3700</v>
      </c>
      <c r="K4" s="33">
        <f t="shared" ref="K4:K58" si="10">IF(F4="N",D4+E4/60,-(D4+E4/60))</f>
        <v>-4.5032933333333336</v>
      </c>
      <c r="L4" s="33">
        <f t="shared" ref="L4:L58" si="11">IF(I4="E",G4+H4/60,-(G4+H4/60))</f>
        <v>-106.07022666666667</v>
      </c>
      <c r="M4" s="34">
        <f t="shared" ref="M4:M54" si="12">RADIANS(90 - K4)</f>
        <v>1.6493936226446737</v>
      </c>
      <c r="N4" s="34">
        <f t="shared" ref="N4:N54" si="13">RADIANS(L4)</f>
        <v>-1.8512746936700233</v>
      </c>
      <c r="O4" s="35">
        <f t="shared" ref="O4:O53" si="14" xml:space="preserve"> ROUND(ACOS( COS(M4)*COS(M5) + SIN(M4)*SIN(M5)*COS(N4-N5) ) * 6371,0)</f>
        <v>10</v>
      </c>
      <c r="P4" s="35">
        <f t="shared" ref="P4:P57" si="15">ROUND(O4/1.852, 0)</f>
        <v>5</v>
      </c>
      <c r="Q4" s="11">
        <f>Assumptions!$D$3</f>
        <v>11</v>
      </c>
      <c r="R4" s="11">
        <f t="shared" ref="R4:R53" si="16">ROUND(P4/Q4,1)</f>
        <v>0.5</v>
      </c>
      <c r="S4" s="11">
        <f>Assumptions!$D$5</f>
        <v>0.5</v>
      </c>
      <c r="T4" s="11">
        <f>ROUND(J4/Assumptions!$D$8/60,1)</f>
        <v>1.5</v>
      </c>
      <c r="U4" s="11">
        <f>Assumptions!$D$11</f>
        <v>1.25</v>
      </c>
      <c r="V4" s="36">
        <f>SUM(S4,T4,U4)</f>
        <v>3.25</v>
      </c>
      <c r="W4" s="37">
        <f>X3+V4/24</f>
        <v>43794.364583333328</v>
      </c>
      <c r="X4" s="38">
        <f>W4  + R4/24</f>
        <v>43794.385416666664</v>
      </c>
      <c r="Y4" s="11">
        <f>(X4-W4)*24 + (W4-X3)*24 + Y3</f>
        <v>215.25</v>
      </c>
      <c r="Z4" s="11">
        <f>Y4/24</f>
        <v>8.96875</v>
      </c>
    </row>
    <row r="5" spans="1:26" x14ac:dyDescent="0.2">
      <c r="A5" s="19" t="s">
        <v>35</v>
      </c>
      <c r="B5" s="19" t="s">
        <v>96</v>
      </c>
      <c r="C5" s="19" t="s">
        <v>84</v>
      </c>
      <c r="D5" s="19">
        <v>4</v>
      </c>
      <c r="E5" s="19">
        <v>31.066299999999998</v>
      </c>
      <c r="F5" s="19" t="s">
        <v>27</v>
      </c>
      <c r="G5" s="19">
        <v>105</v>
      </c>
      <c r="H5" s="19">
        <v>58.884999999999998</v>
      </c>
      <c r="I5" s="19" t="s">
        <v>1</v>
      </c>
      <c r="J5" s="19">
        <f>Assumptions!$D$18</f>
        <v>3700</v>
      </c>
      <c r="K5" s="33">
        <f t="shared" si="10"/>
        <v>-4.5177716666666665</v>
      </c>
      <c r="L5" s="33">
        <f t="shared" si="11"/>
        <v>-105.98141666666666</v>
      </c>
      <c r="M5" s="34">
        <f t="shared" si="12"/>
        <v>1.6496463172315416</v>
      </c>
      <c r="N5" s="34">
        <f t="shared" si="13"/>
        <v>-1.849724666761327</v>
      </c>
      <c r="O5" s="35">
        <f t="shared" si="14"/>
        <v>10</v>
      </c>
      <c r="P5" s="35">
        <f t="shared" si="15"/>
        <v>5</v>
      </c>
      <c r="Q5" s="11">
        <f>Assumptions!$D$3</f>
        <v>11</v>
      </c>
      <c r="R5" s="11">
        <f t="shared" si="16"/>
        <v>0.5</v>
      </c>
      <c r="S5" s="11">
        <f>Assumptions!$D$5</f>
        <v>0.5</v>
      </c>
      <c r="T5" s="11">
        <f>ROUND(J5/Assumptions!$D$8/60,1)</f>
        <v>1.5</v>
      </c>
      <c r="U5" s="11">
        <f>Assumptions!$D$11</f>
        <v>1.25</v>
      </c>
      <c r="V5" s="36">
        <f t="shared" ref="V5:V54" si="17">SUM(S5,T5,U5)</f>
        <v>3.25</v>
      </c>
      <c r="W5" s="37">
        <f t="shared" ref="W5:W57" si="18">X4+V5/24</f>
        <v>43794.520833333328</v>
      </c>
      <c r="X5" s="38">
        <f t="shared" ref="X5:X54" si="19">W5  + R5/24</f>
        <v>43794.541666666664</v>
      </c>
      <c r="Y5" s="11">
        <f t="shared" ref="Y5:Y54" si="20">(X5-W5)*24 + (W5-X4)*24 + Y4</f>
        <v>219</v>
      </c>
      <c r="Z5" s="11">
        <f t="shared" ref="Z5:Z57" si="21">Y5/24</f>
        <v>9.125</v>
      </c>
    </row>
    <row r="6" spans="1:26" x14ac:dyDescent="0.2">
      <c r="A6" s="19" t="s">
        <v>36</v>
      </c>
      <c r="B6" s="19" t="s">
        <v>96</v>
      </c>
      <c r="C6" s="19" t="s">
        <v>84</v>
      </c>
      <c r="D6" s="19">
        <v>4</v>
      </c>
      <c r="E6" s="19">
        <v>31.972899999999999</v>
      </c>
      <c r="F6" s="19" t="s">
        <v>27</v>
      </c>
      <c r="G6" s="19">
        <v>105</v>
      </c>
      <c r="H6" s="19">
        <v>53.556600000000003</v>
      </c>
      <c r="I6" s="19" t="s">
        <v>1</v>
      </c>
      <c r="J6" s="19">
        <f>Assumptions!$D$18</f>
        <v>3700</v>
      </c>
      <c r="K6" s="33">
        <f t="shared" si="10"/>
        <v>-4.5328816666666665</v>
      </c>
      <c r="L6" s="33">
        <f t="shared" si="11"/>
        <v>-105.89261</v>
      </c>
      <c r="M6" s="34">
        <f t="shared" si="12"/>
        <v>1.649910036481518</v>
      </c>
      <c r="N6" s="34">
        <f t="shared" si="13"/>
        <v>-1.8481746980302727</v>
      </c>
      <c r="O6" s="35">
        <f t="shared" si="14"/>
        <v>10</v>
      </c>
      <c r="P6" s="35">
        <f t="shared" si="15"/>
        <v>5</v>
      </c>
      <c r="Q6" s="11">
        <f>Assumptions!$D$3</f>
        <v>11</v>
      </c>
      <c r="R6" s="11">
        <f t="shared" si="16"/>
        <v>0.5</v>
      </c>
      <c r="S6" s="11">
        <f>Assumptions!$D$5</f>
        <v>0.5</v>
      </c>
      <c r="T6" s="11">
        <f>ROUND(J6/Assumptions!$D$8/60,1)</f>
        <v>1.5</v>
      </c>
      <c r="U6" s="11">
        <f>Assumptions!$D$11</f>
        <v>1.25</v>
      </c>
      <c r="V6" s="36">
        <f t="shared" si="17"/>
        <v>3.25</v>
      </c>
      <c r="W6" s="37">
        <f t="shared" si="18"/>
        <v>43794.677083333328</v>
      </c>
      <c r="X6" s="38">
        <f t="shared" si="19"/>
        <v>43794.697916666664</v>
      </c>
      <c r="Y6" s="11">
        <f t="shared" si="20"/>
        <v>222.75</v>
      </c>
      <c r="Z6" s="11">
        <f t="shared" si="21"/>
        <v>9.28125</v>
      </c>
    </row>
    <row r="7" spans="1:26" x14ac:dyDescent="0.2">
      <c r="A7" s="19" t="s">
        <v>37</v>
      </c>
      <c r="B7" s="19" t="s">
        <v>96</v>
      </c>
      <c r="C7" s="19" t="s">
        <v>84</v>
      </c>
      <c r="D7" s="19">
        <v>4</v>
      </c>
      <c r="E7" s="19">
        <v>32.803899999999999</v>
      </c>
      <c r="F7" s="19" t="s">
        <v>27</v>
      </c>
      <c r="G7" s="19">
        <v>105</v>
      </c>
      <c r="H7" s="19">
        <v>48.266800000000003</v>
      </c>
      <c r="I7" s="19" t="s">
        <v>1</v>
      </c>
      <c r="J7" s="19">
        <f>Assumptions!$D$18</f>
        <v>3700</v>
      </c>
      <c r="K7" s="33">
        <f t="shared" si="10"/>
        <v>-4.5467316666666662</v>
      </c>
      <c r="L7" s="33">
        <f t="shared" si="11"/>
        <v>-105.80444666666666</v>
      </c>
      <c r="M7" s="34">
        <f t="shared" si="12"/>
        <v>1.6501517645829191</v>
      </c>
      <c r="N7" s="34">
        <f t="shared" si="13"/>
        <v>-1.8466359575840727</v>
      </c>
      <c r="O7" s="35">
        <f t="shared" si="14"/>
        <v>10</v>
      </c>
      <c r="P7" s="35">
        <f t="shared" si="15"/>
        <v>5</v>
      </c>
      <c r="Q7" s="11">
        <f>Assumptions!$D$3</f>
        <v>11</v>
      </c>
      <c r="R7" s="11">
        <f t="shared" si="16"/>
        <v>0.5</v>
      </c>
      <c r="S7" s="11">
        <f>Assumptions!$D$5</f>
        <v>0.5</v>
      </c>
      <c r="T7" s="11">
        <f>ROUND(J7/Assumptions!$D$8/60,1)</f>
        <v>1.5</v>
      </c>
      <c r="U7" s="11">
        <f>Assumptions!$D$11</f>
        <v>1.25</v>
      </c>
      <c r="V7" s="36">
        <f t="shared" si="17"/>
        <v>3.25</v>
      </c>
      <c r="W7" s="37">
        <f t="shared" si="18"/>
        <v>43794.833333333328</v>
      </c>
      <c r="X7" s="38">
        <f t="shared" si="19"/>
        <v>43794.854166666664</v>
      </c>
      <c r="Y7" s="11">
        <f t="shared" si="20"/>
        <v>226.5</v>
      </c>
      <c r="Z7" s="11">
        <f t="shared" si="21"/>
        <v>9.4375</v>
      </c>
    </row>
    <row r="8" spans="1:26" x14ac:dyDescent="0.2">
      <c r="A8" s="19" t="s">
        <v>38</v>
      </c>
      <c r="B8" s="19" t="s">
        <v>96</v>
      </c>
      <c r="C8" s="19" t="s">
        <v>84</v>
      </c>
      <c r="D8" s="19">
        <v>4</v>
      </c>
      <c r="E8" s="19">
        <v>33.672600000000003</v>
      </c>
      <c r="F8" s="19" t="s">
        <v>27</v>
      </c>
      <c r="G8" s="19">
        <v>105</v>
      </c>
      <c r="H8" s="19">
        <v>42.938200000000002</v>
      </c>
      <c r="I8" s="19" t="s">
        <v>1</v>
      </c>
      <c r="J8" s="19">
        <f>Assumptions!$D$18</f>
        <v>3700</v>
      </c>
      <c r="K8" s="33">
        <f t="shared" si="10"/>
        <v>-4.56121</v>
      </c>
      <c r="L8" s="33">
        <f t="shared" si="11"/>
        <v>-105.71563666666667</v>
      </c>
      <c r="M8" s="34">
        <f t="shared" si="12"/>
        <v>1.6504044591697873</v>
      </c>
      <c r="N8" s="34">
        <f t="shared" si="13"/>
        <v>-1.8450859306753766</v>
      </c>
      <c r="O8" s="35">
        <f t="shared" si="14"/>
        <v>10</v>
      </c>
      <c r="P8" s="35">
        <f t="shared" si="15"/>
        <v>5</v>
      </c>
      <c r="Q8" s="11">
        <f>Assumptions!$D$3</f>
        <v>11</v>
      </c>
      <c r="R8" s="11">
        <f t="shared" si="16"/>
        <v>0.5</v>
      </c>
      <c r="S8" s="11">
        <f>Assumptions!$D$5</f>
        <v>0.5</v>
      </c>
      <c r="T8" s="11">
        <f>ROUND(J8/Assumptions!$D$8/60,1)</f>
        <v>1.5</v>
      </c>
      <c r="U8" s="11">
        <f>Assumptions!$D$11</f>
        <v>1.25</v>
      </c>
      <c r="V8" s="36">
        <f t="shared" si="17"/>
        <v>3.25</v>
      </c>
      <c r="W8" s="37">
        <f t="shared" si="18"/>
        <v>43794.989583333328</v>
      </c>
      <c r="X8" s="38">
        <f t="shared" si="19"/>
        <v>43795.010416666664</v>
      </c>
      <c r="Y8" s="11">
        <f t="shared" si="20"/>
        <v>230.25</v>
      </c>
      <c r="Z8" s="11">
        <f t="shared" si="21"/>
        <v>9.59375</v>
      </c>
    </row>
    <row r="9" spans="1:26" x14ac:dyDescent="0.2">
      <c r="A9" s="19" t="s">
        <v>39</v>
      </c>
      <c r="B9" s="19" t="s">
        <v>96</v>
      </c>
      <c r="C9" s="19" t="s">
        <v>84</v>
      </c>
      <c r="D9" s="19">
        <v>4</v>
      </c>
      <c r="E9" s="19">
        <v>34.541400000000003</v>
      </c>
      <c r="F9" s="19" t="s">
        <v>27</v>
      </c>
      <c r="G9" s="19">
        <v>105</v>
      </c>
      <c r="H9" s="19">
        <v>37.609699999999997</v>
      </c>
      <c r="I9" s="19" t="s">
        <v>1</v>
      </c>
      <c r="J9" s="19">
        <f>Assumptions!$D$18</f>
        <v>3700</v>
      </c>
      <c r="K9" s="33">
        <f t="shared" si="10"/>
        <v>-4.5756899999999998</v>
      </c>
      <c r="L9" s="33">
        <f t="shared" si="11"/>
        <v>-105.62682833333334</v>
      </c>
      <c r="M9" s="34">
        <f t="shared" si="12"/>
        <v>1.6506571828454759</v>
      </c>
      <c r="N9" s="34">
        <f t="shared" si="13"/>
        <v>-1.8435359328555012</v>
      </c>
      <c r="O9" s="35">
        <f t="shared" si="14"/>
        <v>8</v>
      </c>
      <c r="P9" s="35">
        <f t="shared" si="15"/>
        <v>4</v>
      </c>
      <c r="Q9" s="11">
        <f>Assumptions!$D$3</f>
        <v>11</v>
      </c>
      <c r="R9" s="11">
        <f t="shared" si="16"/>
        <v>0.4</v>
      </c>
      <c r="S9" s="11">
        <f>Assumptions!$D$5</f>
        <v>0.5</v>
      </c>
      <c r="T9" s="11">
        <f>ROUND(J9/Assumptions!$D$8/60,1)</f>
        <v>1.5</v>
      </c>
      <c r="U9" s="11">
        <f>Assumptions!$D$11</f>
        <v>1.25</v>
      </c>
      <c r="V9" s="36">
        <f t="shared" si="17"/>
        <v>3.25</v>
      </c>
      <c r="W9" s="37">
        <f t="shared" si="18"/>
        <v>43795.145833333328</v>
      </c>
      <c r="X9" s="38">
        <f t="shared" si="19"/>
        <v>43795.162499999999</v>
      </c>
      <c r="Y9" s="11">
        <f t="shared" si="20"/>
        <v>233.90000000002328</v>
      </c>
      <c r="Z9" s="11">
        <f t="shared" si="21"/>
        <v>9.7458333333343035</v>
      </c>
    </row>
    <row r="10" spans="1:26" x14ac:dyDescent="0.2">
      <c r="A10" s="19" t="s">
        <v>40</v>
      </c>
      <c r="B10" s="19" t="s">
        <v>96</v>
      </c>
      <c r="C10" s="19" t="s">
        <v>84</v>
      </c>
      <c r="D10" s="19">
        <v>4</v>
      </c>
      <c r="E10" s="19">
        <v>38.545299999999997</v>
      </c>
      <c r="F10" s="19" t="s">
        <v>27</v>
      </c>
      <c r="G10" s="19">
        <v>105</v>
      </c>
      <c r="H10" s="19">
        <v>38.358899999999998</v>
      </c>
      <c r="I10" s="19" t="s">
        <v>1</v>
      </c>
      <c r="J10" s="19">
        <f>Assumptions!$D$18</f>
        <v>3700</v>
      </c>
      <c r="K10" s="33">
        <f t="shared" si="10"/>
        <v>-4.6424216666666664</v>
      </c>
      <c r="L10" s="33">
        <f t="shared" si="11"/>
        <v>-105.639315</v>
      </c>
      <c r="M10" s="34">
        <f t="shared" si="12"/>
        <v>1.6518218701441525</v>
      </c>
      <c r="N10" s="34">
        <f t="shared" si="13"/>
        <v>-1.8437538663014335</v>
      </c>
      <c r="O10" s="35">
        <f t="shared" si="14"/>
        <v>5</v>
      </c>
      <c r="P10" s="35">
        <f t="shared" si="15"/>
        <v>3</v>
      </c>
      <c r="Q10" s="11">
        <f>Assumptions!$D$3</f>
        <v>11</v>
      </c>
      <c r="R10" s="11">
        <f t="shared" si="16"/>
        <v>0.3</v>
      </c>
      <c r="S10" s="11">
        <f>Assumptions!$D$5</f>
        <v>0.5</v>
      </c>
      <c r="T10" s="11">
        <f>ROUND(J10/Assumptions!$D$8/60,1)</f>
        <v>1.5</v>
      </c>
      <c r="U10" s="11">
        <f>Assumptions!$D$11</f>
        <v>1.25</v>
      </c>
      <c r="V10" s="36">
        <f t="shared" si="17"/>
        <v>3.25</v>
      </c>
      <c r="W10" s="37">
        <f t="shared" si="18"/>
        <v>43795.297916666663</v>
      </c>
      <c r="X10" s="38">
        <f t="shared" si="19"/>
        <v>43795.31041666666</v>
      </c>
      <c r="Y10" s="11">
        <f t="shared" si="20"/>
        <v>237.44999999989523</v>
      </c>
      <c r="Z10" s="11">
        <f t="shared" si="21"/>
        <v>9.8937499999956344</v>
      </c>
    </row>
    <row r="11" spans="1:26" x14ac:dyDescent="0.2">
      <c r="A11" s="19" t="s">
        <v>41</v>
      </c>
      <c r="B11" s="19" t="s">
        <v>96</v>
      </c>
      <c r="C11" s="19" t="s">
        <v>84</v>
      </c>
      <c r="D11" s="19">
        <v>4</v>
      </c>
      <c r="E11" s="19">
        <v>38.129800000000003</v>
      </c>
      <c r="F11" s="19" t="s">
        <v>27</v>
      </c>
      <c r="G11" s="19">
        <v>105</v>
      </c>
      <c r="H11" s="19">
        <v>41.042700000000004</v>
      </c>
      <c r="I11" s="19" t="s">
        <v>1</v>
      </c>
      <c r="J11" s="19">
        <f>Assumptions!$D$18</f>
        <v>3700</v>
      </c>
      <c r="K11" s="33">
        <f t="shared" si="10"/>
        <v>-4.6354966666666666</v>
      </c>
      <c r="L11" s="33">
        <f t="shared" si="11"/>
        <v>-105.684045</v>
      </c>
      <c r="M11" s="34">
        <f t="shared" si="12"/>
        <v>1.6517010060934521</v>
      </c>
      <c r="N11" s="34">
        <f t="shared" si="13"/>
        <v>-1.8445345520758505</v>
      </c>
      <c r="O11" s="35">
        <f t="shared" si="14"/>
        <v>5</v>
      </c>
      <c r="P11" s="35">
        <f t="shared" si="15"/>
        <v>3</v>
      </c>
      <c r="Q11" s="11">
        <f>Assumptions!$D$3</f>
        <v>11</v>
      </c>
      <c r="R11" s="11">
        <f t="shared" si="16"/>
        <v>0.3</v>
      </c>
      <c r="S11" s="11">
        <f>Assumptions!$D$5</f>
        <v>0.5</v>
      </c>
      <c r="T11" s="11">
        <f>ROUND(J11/Assumptions!$D$8/60,1)</f>
        <v>1.5</v>
      </c>
      <c r="U11" s="11">
        <f>Assumptions!$D$11</f>
        <v>1.25</v>
      </c>
      <c r="V11" s="36">
        <f t="shared" si="17"/>
        <v>3.25</v>
      </c>
      <c r="W11" s="37">
        <f t="shared" si="18"/>
        <v>43795.445833333324</v>
      </c>
      <c r="X11" s="38">
        <f t="shared" si="19"/>
        <v>43795.458333333321</v>
      </c>
      <c r="Y11" s="11">
        <f t="shared" si="20"/>
        <v>240.99999999976717</v>
      </c>
      <c r="Z11" s="11">
        <f t="shared" si="21"/>
        <v>10.041666666656965</v>
      </c>
    </row>
    <row r="12" spans="1:26" x14ac:dyDescent="0.2">
      <c r="A12" s="19" t="s">
        <v>42</v>
      </c>
      <c r="B12" s="19" t="s">
        <v>96</v>
      </c>
      <c r="C12" s="19" t="s">
        <v>84</v>
      </c>
      <c r="D12" s="19">
        <v>4</v>
      </c>
      <c r="E12" s="19">
        <v>37.676499999999997</v>
      </c>
      <c r="F12" s="19" t="s">
        <v>27</v>
      </c>
      <c r="G12" s="19">
        <v>105</v>
      </c>
      <c r="H12" s="19">
        <v>43.6875</v>
      </c>
      <c r="I12" s="19" t="s">
        <v>1</v>
      </c>
      <c r="J12" s="19">
        <f>Assumptions!$D$18</f>
        <v>3700</v>
      </c>
      <c r="K12" s="33">
        <f t="shared" si="10"/>
        <v>-4.6279416666666666</v>
      </c>
      <c r="L12" s="33">
        <f t="shared" si="11"/>
        <v>-105.72812500000001</v>
      </c>
      <c r="M12" s="34">
        <f t="shared" si="12"/>
        <v>1.6515691464684639</v>
      </c>
      <c r="N12" s="34">
        <f t="shared" si="13"/>
        <v>-1.8453038932101298</v>
      </c>
      <c r="O12" s="35">
        <f t="shared" si="14"/>
        <v>5</v>
      </c>
      <c r="P12" s="35">
        <f t="shared" si="15"/>
        <v>3</v>
      </c>
      <c r="Q12" s="11">
        <f>Assumptions!$D$3</f>
        <v>11</v>
      </c>
      <c r="R12" s="11">
        <f t="shared" si="16"/>
        <v>0.3</v>
      </c>
      <c r="S12" s="11">
        <f>Assumptions!$D$5</f>
        <v>0.5</v>
      </c>
      <c r="T12" s="11">
        <f>ROUND(J12/Assumptions!$D$8/60,1)</f>
        <v>1.5</v>
      </c>
      <c r="U12" s="11">
        <f>Assumptions!$D$11</f>
        <v>1.25</v>
      </c>
      <c r="V12" s="36">
        <f t="shared" si="17"/>
        <v>3.25</v>
      </c>
      <c r="W12" s="37">
        <f t="shared" si="18"/>
        <v>43795.593749999985</v>
      </c>
      <c r="X12" s="38">
        <f t="shared" si="19"/>
        <v>43795.606249999983</v>
      </c>
      <c r="Y12" s="11">
        <f t="shared" si="20"/>
        <v>244.54999999963911</v>
      </c>
      <c r="Z12" s="11">
        <f t="shared" si="21"/>
        <v>10.189583333318296</v>
      </c>
    </row>
    <row r="13" spans="1:26" x14ac:dyDescent="0.2">
      <c r="A13" s="19" t="s">
        <v>33</v>
      </c>
      <c r="B13" s="19" t="s">
        <v>96</v>
      </c>
      <c r="C13" s="19" t="s">
        <v>84</v>
      </c>
      <c r="D13" s="19">
        <v>4</v>
      </c>
      <c r="E13" s="19">
        <v>37.223199999999999</v>
      </c>
      <c r="F13" s="19" t="s">
        <v>27</v>
      </c>
      <c r="G13" s="19">
        <v>105</v>
      </c>
      <c r="H13" s="19">
        <v>46.332299999999996</v>
      </c>
      <c r="I13" s="19" t="s">
        <v>1</v>
      </c>
      <c r="J13" s="19">
        <f>Assumptions!$D$18</f>
        <v>3700</v>
      </c>
      <c r="K13" s="33">
        <f t="shared" si="10"/>
        <v>-4.6203866666666666</v>
      </c>
      <c r="L13" s="33">
        <f t="shared" si="11"/>
        <v>-105.772205</v>
      </c>
      <c r="M13" s="34">
        <f t="shared" si="12"/>
        <v>1.6514372868434755</v>
      </c>
      <c r="N13" s="34">
        <f t="shared" si="13"/>
        <v>-1.8460732343444088</v>
      </c>
      <c r="O13" s="35">
        <f t="shared" si="14"/>
        <v>5</v>
      </c>
      <c r="P13" s="35">
        <f t="shared" si="15"/>
        <v>3</v>
      </c>
      <c r="Q13" s="11">
        <f>Assumptions!$D$3</f>
        <v>11</v>
      </c>
      <c r="R13" s="11">
        <f t="shared" si="16"/>
        <v>0.3</v>
      </c>
      <c r="S13" s="11">
        <f>Assumptions!$D$5</f>
        <v>0.5</v>
      </c>
      <c r="T13" s="11">
        <f>ROUND(J13/Assumptions!$D$8/60,1)</f>
        <v>1.5</v>
      </c>
      <c r="U13" s="11">
        <f>Assumptions!$D$11</f>
        <v>1.25</v>
      </c>
      <c r="V13" s="36">
        <f t="shared" si="17"/>
        <v>3.25</v>
      </c>
      <c r="W13" s="37">
        <f t="shared" si="18"/>
        <v>43795.741666666647</v>
      </c>
      <c r="X13" s="38">
        <f t="shared" si="19"/>
        <v>43795.754166666644</v>
      </c>
      <c r="Y13" s="11">
        <f t="shared" si="20"/>
        <v>248.09999999951106</v>
      </c>
      <c r="Z13" s="11">
        <f t="shared" si="21"/>
        <v>10.337499999979627</v>
      </c>
    </row>
    <row r="14" spans="1:26" x14ac:dyDescent="0.2">
      <c r="A14" s="19" t="s">
        <v>43</v>
      </c>
      <c r="B14" s="19" t="s">
        <v>97</v>
      </c>
      <c r="C14" s="19" t="s">
        <v>84</v>
      </c>
      <c r="D14" s="19">
        <v>4</v>
      </c>
      <c r="E14" s="19">
        <v>36.770000000000003</v>
      </c>
      <c r="F14" s="19" t="s">
        <v>27</v>
      </c>
      <c r="G14" s="19">
        <v>105</v>
      </c>
      <c r="H14" s="19">
        <v>49.015999999999998</v>
      </c>
      <c r="I14" s="19" t="s">
        <v>1</v>
      </c>
      <c r="J14" s="19">
        <f>Assumptions!$D$18</f>
        <v>3700</v>
      </c>
      <c r="K14" s="33">
        <f t="shared" si="10"/>
        <v>-4.6128333333333336</v>
      </c>
      <c r="L14" s="33">
        <f t="shared" si="11"/>
        <v>-105.81693333333334</v>
      </c>
      <c r="M14" s="34">
        <f t="shared" si="12"/>
        <v>1.6513054563073082</v>
      </c>
      <c r="N14" s="34">
        <f t="shared" si="13"/>
        <v>-1.8468538910300052</v>
      </c>
      <c r="O14" s="35">
        <f t="shared" si="14"/>
        <v>5</v>
      </c>
      <c r="P14" s="35">
        <f t="shared" si="15"/>
        <v>3</v>
      </c>
      <c r="Q14" s="11">
        <f>Assumptions!$D$3</f>
        <v>11</v>
      </c>
      <c r="R14" s="11">
        <f t="shared" si="16"/>
        <v>0.3</v>
      </c>
      <c r="S14" s="11">
        <f>Assumptions!$D$5</f>
        <v>0.5</v>
      </c>
      <c r="T14" s="11">
        <f>ROUND(J14/Assumptions!$D$9/60,1)</f>
        <v>1.2</v>
      </c>
      <c r="U14" s="11">
        <f>Assumptions!$D$11</f>
        <v>1.25</v>
      </c>
      <c r="V14" s="36">
        <f t="shared" si="17"/>
        <v>2.95</v>
      </c>
      <c r="W14" s="37">
        <f t="shared" si="18"/>
        <v>43795.877083333311</v>
      </c>
      <c r="X14" s="38">
        <f t="shared" si="19"/>
        <v>43795.889583333308</v>
      </c>
      <c r="Y14" s="11">
        <f t="shared" si="20"/>
        <v>251.34999999945285</v>
      </c>
      <c r="Z14" s="11">
        <f t="shared" si="21"/>
        <v>10.472916666643869</v>
      </c>
    </row>
    <row r="15" spans="1:26" x14ac:dyDescent="0.2">
      <c r="A15" s="19" t="s">
        <v>44</v>
      </c>
      <c r="B15" s="19" t="s">
        <v>97</v>
      </c>
      <c r="C15" s="19" t="s">
        <v>84</v>
      </c>
      <c r="D15" s="19">
        <v>4</v>
      </c>
      <c r="E15" s="19">
        <v>36.354500000000002</v>
      </c>
      <c r="F15" s="19" t="s">
        <v>27</v>
      </c>
      <c r="G15" s="19">
        <v>105</v>
      </c>
      <c r="H15" s="19">
        <v>51.660899999999998</v>
      </c>
      <c r="I15" s="19" t="s">
        <v>1</v>
      </c>
      <c r="J15" s="19">
        <f>Assumptions!$D$18</f>
        <v>3700</v>
      </c>
      <c r="K15" s="33">
        <f t="shared" si="10"/>
        <v>-4.6059083333333337</v>
      </c>
      <c r="L15" s="33">
        <f t="shared" si="11"/>
        <v>-105.86101499999999</v>
      </c>
      <c r="M15" s="34">
        <f t="shared" si="12"/>
        <v>1.6511845922566077</v>
      </c>
      <c r="N15" s="34">
        <f t="shared" si="13"/>
        <v>-1.8476232612531049</v>
      </c>
      <c r="O15" s="35">
        <f t="shared" si="14"/>
        <v>5</v>
      </c>
      <c r="P15" s="35">
        <f t="shared" si="15"/>
        <v>3</v>
      </c>
      <c r="Q15" s="11">
        <f>Assumptions!$D$3</f>
        <v>11</v>
      </c>
      <c r="R15" s="11">
        <f t="shared" si="16"/>
        <v>0.3</v>
      </c>
      <c r="S15" s="11">
        <f>Assumptions!$D$5</f>
        <v>0.5</v>
      </c>
      <c r="T15" s="11">
        <f>ROUND(J15/Assumptions!$D$9/60,1)</f>
        <v>1.2</v>
      </c>
      <c r="U15" s="11">
        <f>Assumptions!$D$11</f>
        <v>1.25</v>
      </c>
      <c r="V15" s="36">
        <f t="shared" si="17"/>
        <v>2.95</v>
      </c>
      <c r="W15" s="37">
        <f t="shared" si="18"/>
        <v>43796.012499999975</v>
      </c>
      <c r="X15" s="38">
        <f t="shared" si="19"/>
        <v>43796.024999999972</v>
      </c>
      <c r="Y15" s="11">
        <f t="shared" si="20"/>
        <v>254.59999999939464</v>
      </c>
      <c r="Z15" s="11">
        <f t="shared" si="21"/>
        <v>10.60833333330811</v>
      </c>
    </row>
    <row r="16" spans="1:26" x14ac:dyDescent="0.2">
      <c r="A16" s="19" t="s">
        <v>45</v>
      </c>
      <c r="B16" s="19" t="s">
        <v>97</v>
      </c>
      <c r="C16" s="19" t="s">
        <v>84</v>
      </c>
      <c r="D16" s="19">
        <v>4</v>
      </c>
      <c r="E16" s="19">
        <v>35.901200000000003</v>
      </c>
      <c r="F16" s="19" t="s">
        <v>27</v>
      </c>
      <c r="G16" s="19">
        <v>105</v>
      </c>
      <c r="H16" s="19">
        <v>54.305700000000002</v>
      </c>
      <c r="I16" s="19" t="s">
        <v>1</v>
      </c>
      <c r="J16" s="19">
        <f>Assumptions!$D$18</f>
        <v>3700</v>
      </c>
      <c r="K16" s="33">
        <f t="shared" si="10"/>
        <v>-4.5983533333333337</v>
      </c>
      <c r="L16" s="33">
        <f t="shared" si="11"/>
        <v>-105.905095</v>
      </c>
      <c r="M16" s="34">
        <f t="shared" si="12"/>
        <v>1.6510527326316196</v>
      </c>
      <c r="N16" s="34">
        <f t="shared" si="13"/>
        <v>-1.8483926023873842</v>
      </c>
      <c r="O16" s="35">
        <f t="shared" si="14"/>
        <v>5</v>
      </c>
      <c r="P16" s="35">
        <f t="shared" si="15"/>
        <v>3</v>
      </c>
      <c r="Q16" s="11">
        <f>Assumptions!$D$3</f>
        <v>11</v>
      </c>
      <c r="R16" s="11">
        <f t="shared" si="16"/>
        <v>0.3</v>
      </c>
      <c r="S16" s="11">
        <f>Assumptions!$D$5</f>
        <v>0.5</v>
      </c>
      <c r="T16" s="11">
        <f>ROUND(J16/Assumptions!$D$9/60,1)</f>
        <v>1.2</v>
      </c>
      <c r="U16" s="11">
        <f>Assumptions!$D$11</f>
        <v>1.25</v>
      </c>
      <c r="V16" s="36">
        <f t="shared" si="17"/>
        <v>2.95</v>
      </c>
      <c r="W16" s="37">
        <f t="shared" si="18"/>
        <v>43796.14791666664</v>
      </c>
      <c r="X16" s="38">
        <f t="shared" si="19"/>
        <v>43796.160416666637</v>
      </c>
      <c r="Y16" s="11">
        <f t="shared" si="20"/>
        <v>257.84999999933643</v>
      </c>
      <c r="Z16" s="11">
        <f t="shared" si="21"/>
        <v>10.743749999972351</v>
      </c>
    </row>
    <row r="17" spans="1:26" x14ac:dyDescent="0.2">
      <c r="A17" s="19" t="s">
        <v>46</v>
      </c>
      <c r="B17" s="19" t="s">
        <v>97</v>
      </c>
      <c r="C17" s="19" t="s">
        <v>84</v>
      </c>
      <c r="D17" s="19">
        <v>4</v>
      </c>
      <c r="E17" s="19">
        <v>35.485700000000001</v>
      </c>
      <c r="F17" s="19" t="s">
        <v>27</v>
      </c>
      <c r="G17" s="19">
        <v>105</v>
      </c>
      <c r="H17" s="19">
        <v>56.989400000000003</v>
      </c>
      <c r="I17" s="19" t="s">
        <v>1</v>
      </c>
      <c r="J17" s="19">
        <f>Assumptions!$D$18</f>
        <v>3700</v>
      </c>
      <c r="K17" s="33">
        <f t="shared" si="10"/>
        <v>-4.591428333333333</v>
      </c>
      <c r="L17" s="33">
        <f t="shared" si="11"/>
        <v>-105.94982333333333</v>
      </c>
      <c r="M17" s="34">
        <f t="shared" si="12"/>
        <v>1.6509318685809191</v>
      </c>
      <c r="N17" s="34">
        <f t="shared" si="13"/>
        <v>-1.8491732590729801</v>
      </c>
      <c r="O17" s="35">
        <f t="shared" si="14"/>
        <v>5</v>
      </c>
      <c r="P17" s="35">
        <f t="shared" si="15"/>
        <v>3</v>
      </c>
      <c r="Q17" s="11">
        <f>Assumptions!$D$3</f>
        <v>11</v>
      </c>
      <c r="R17" s="11">
        <f t="shared" si="16"/>
        <v>0.3</v>
      </c>
      <c r="S17" s="11">
        <f>Assumptions!$D$5</f>
        <v>0.5</v>
      </c>
      <c r="T17" s="11">
        <f>ROUND(J17/Assumptions!$D$9/60,1)</f>
        <v>1.2</v>
      </c>
      <c r="U17" s="11">
        <f>Assumptions!$D$11</f>
        <v>1.25</v>
      </c>
      <c r="V17" s="36">
        <f t="shared" si="17"/>
        <v>2.95</v>
      </c>
      <c r="W17" s="37">
        <f t="shared" si="18"/>
        <v>43796.283333333304</v>
      </c>
      <c r="X17" s="38">
        <f t="shared" si="19"/>
        <v>43796.295833333301</v>
      </c>
      <c r="Y17" s="11">
        <f t="shared" si="20"/>
        <v>261.09999999927823</v>
      </c>
      <c r="Z17" s="11">
        <f t="shared" si="21"/>
        <v>10.879166666636593</v>
      </c>
    </row>
    <row r="18" spans="1:26" x14ac:dyDescent="0.2">
      <c r="A18" s="19" t="s">
        <v>47</v>
      </c>
      <c r="B18" s="19" t="s">
        <v>97</v>
      </c>
      <c r="C18" s="19" t="s">
        <v>84</v>
      </c>
      <c r="D18" s="19">
        <v>4</v>
      </c>
      <c r="E18" s="19">
        <v>35.032400000000003</v>
      </c>
      <c r="F18" s="19" t="s">
        <v>27</v>
      </c>
      <c r="G18" s="19">
        <v>105</v>
      </c>
      <c r="H18" s="19">
        <v>59.6342</v>
      </c>
      <c r="I18" s="19" t="s">
        <v>1</v>
      </c>
      <c r="J18" s="19">
        <f>Assumptions!$D$18</f>
        <v>3700</v>
      </c>
      <c r="K18" s="33">
        <f t="shared" si="10"/>
        <v>-4.583873333333333</v>
      </c>
      <c r="L18" s="33">
        <f t="shared" si="11"/>
        <v>-105.99390333333334</v>
      </c>
      <c r="M18" s="34">
        <f t="shared" si="12"/>
        <v>1.6508000089559307</v>
      </c>
      <c r="N18" s="34">
        <f t="shared" si="13"/>
        <v>-1.8499426002072594</v>
      </c>
      <c r="O18" s="35">
        <f t="shared" si="14"/>
        <v>5</v>
      </c>
      <c r="P18" s="35">
        <f t="shared" si="15"/>
        <v>3</v>
      </c>
      <c r="Q18" s="11">
        <f>Assumptions!$D$3</f>
        <v>11</v>
      </c>
      <c r="R18" s="11">
        <f t="shared" si="16"/>
        <v>0.3</v>
      </c>
      <c r="S18" s="11">
        <f>Assumptions!$D$5</f>
        <v>0.5</v>
      </c>
      <c r="T18" s="11">
        <f>ROUND(J18/Assumptions!$D$9/60,1)</f>
        <v>1.2</v>
      </c>
      <c r="U18" s="11">
        <f>Assumptions!$D$11</f>
        <v>1.25</v>
      </c>
      <c r="V18" s="36">
        <f t="shared" si="17"/>
        <v>2.95</v>
      </c>
      <c r="W18" s="37">
        <f t="shared" si="18"/>
        <v>43796.418749999968</v>
      </c>
      <c r="X18" s="38">
        <f t="shared" si="19"/>
        <v>43796.431249999965</v>
      </c>
      <c r="Y18" s="11">
        <f t="shared" si="20"/>
        <v>264.34999999922002</v>
      </c>
      <c r="Z18" s="11">
        <f t="shared" si="21"/>
        <v>11.014583333300834</v>
      </c>
    </row>
    <row r="19" spans="1:26" x14ac:dyDescent="0.2">
      <c r="A19" s="19" t="s">
        <v>48</v>
      </c>
      <c r="B19" s="19" t="s">
        <v>97</v>
      </c>
      <c r="C19" s="19" t="s">
        <v>84</v>
      </c>
      <c r="D19" s="19">
        <v>4</v>
      </c>
      <c r="E19" s="19">
        <v>34.5792</v>
      </c>
      <c r="F19" s="19" t="s">
        <v>27</v>
      </c>
      <c r="G19" s="19">
        <v>106</v>
      </c>
      <c r="H19" s="19">
        <v>2.2789999999999999</v>
      </c>
      <c r="I19" s="19" t="s">
        <v>1</v>
      </c>
      <c r="J19" s="19">
        <f>Assumptions!$D$18</f>
        <v>3700</v>
      </c>
      <c r="K19" s="33">
        <f t="shared" si="10"/>
        <v>-4.5763199999999999</v>
      </c>
      <c r="L19" s="33">
        <f t="shared" si="11"/>
        <v>-106.03798333333333</v>
      </c>
      <c r="M19" s="34">
        <f t="shared" si="12"/>
        <v>1.6506681784197634</v>
      </c>
      <c r="N19" s="34">
        <f t="shared" si="13"/>
        <v>-1.8507119413415385</v>
      </c>
      <c r="O19" s="35">
        <f t="shared" si="14"/>
        <v>5</v>
      </c>
      <c r="P19" s="35">
        <f t="shared" si="15"/>
        <v>3</v>
      </c>
      <c r="Q19" s="11">
        <f>Assumptions!$D$3</f>
        <v>11</v>
      </c>
      <c r="R19" s="11">
        <f t="shared" si="16"/>
        <v>0.3</v>
      </c>
      <c r="S19" s="11">
        <f>Assumptions!$D$5</f>
        <v>0.5</v>
      </c>
      <c r="T19" s="11">
        <f>ROUND(J19/Assumptions!$D$9/60,1)</f>
        <v>1.2</v>
      </c>
      <c r="U19" s="11">
        <f>Assumptions!$D$11</f>
        <v>1.25</v>
      </c>
      <c r="V19" s="36">
        <f t="shared" si="17"/>
        <v>2.95</v>
      </c>
      <c r="W19" s="37">
        <f t="shared" si="18"/>
        <v>43796.554166666632</v>
      </c>
      <c r="X19" s="38">
        <f t="shared" si="19"/>
        <v>43796.566666666629</v>
      </c>
      <c r="Y19" s="11">
        <f t="shared" si="20"/>
        <v>267.59999999916181</v>
      </c>
      <c r="Z19" s="11">
        <f t="shared" si="21"/>
        <v>11.149999999965075</v>
      </c>
    </row>
    <row r="20" spans="1:26" x14ac:dyDescent="0.2">
      <c r="A20" s="19" t="s">
        <v>49</v>
      </c>
      <c r="B20" s="19" t="s">
        <v>97</v>
      </c>
      <c r="C20" s="19" t="s">
        <v>84</v>
      </c>
      <c r="D20" s="19">
        <v>4</v>
      </c>
      <c r="E20" s="19">
        <v>34.163699999999999</v>
      </c>
      <c r="F20" s="19" t="s">
        <v>27</v>
      </c>
      <c r="G20" s="19">
        <v>106</v>
      </c>
      <c r="H20" s="19">
        <v>4.9627999999999997</v>
      </c>
      <c r="I20" s="19" t="s">
        <v>1</v>
      </c>
      <c r="J20" s="19">
        <f>Assumptions!$D$18</f>
        <v>3700</v>
      </c>
      <c r="K20" s="33">
        <f t="shared" si="10"/>
        <v>-4.5693950000000001</v>
      </c>
      <c r="L20" s="33">
        <f t="shared" si="11"/>
        <v>-106.08271333333333</v>
      </c>
      <c r="M20" s="34">
        <f t="shared" si="12"/>
        <v>1.650547314369063</v>
      </c>
      <c r="N20" s="34">
        <f t="shared" si="13"/>
        <v>-1.8514926271159555</v>
      </c>
      <c r="O20" s="35">
        <f t="shared" si="14"/>
        <v>7</v>
      </c>
      <c r="P20" s="35">
        <f t="shared" si="15"/>
        <v>4</v>
      </c>
      <c r="Q20" s="11">
        <f>Assumptions!$D$3</f>
        <v>11</v>
      </c>
      <c r="R20" s="11">
        <f t="shared" si="16"/>
        <v>0.4</v>
      </c>
      <c r="S20" s="11">
        <f>Assumptions!$D$5</f>
        <v>0.5</v>
      </c>
      <c r="T20" s="11">
        <f>ROUND(J20/Assumptions!$D$9/60,1)</f>
        <v>1.2</v>
      </c>
      <c r="U20" s="11">
        <f>Assumptions!$D$11</f>
        <v>1.25</v>
      </c>
      <c r="V20" s="36">
        <f t="shared" si="17"/>
        <v>2.95</v>
      </c>
      <c r="W20" s="37">
        <f t="shared" si="18"/>
        <v>43796.689583333296</v>
      </c>
      <c r="X20" s="38">
        <f t="shared" si="19"/>
        <v>43796.706249999967</v>
      </c>
      <c r="Y20" s="11">
        <f t="shared" si="20"/>
        <v>270.94999999925494</v>
      </c>
      <c r="Z20" s="11">
        <f t="shared" si="21"/>
        <v>11.289583333302289</v>
      </c>
    </row>
    <row r="21" spans="1:26" x14ac:dyDescent="0.2">
      <c r="A21" s="19" t="s">
        <v>50</v>
      </c>
      <c r="B21" s="19" t="s">
        <v>97</v>
      </c>
      <c r="C21" s="19" t="s">
        <v>84</v>
      </c>
      <c r="D21" s="19">
        <v>4</v>
      </c>
      <c r="E21" s="19">
        <v>38.129800000000003</v>
      </c>
      <c r="F21" s="19" t="s">
        <v>27</v>
      </c>
      <c r="G21" s="19">
        <v>106</v>
      </c>
      <c r="H21" s="19">
        <v>5.7119999999999997</v>
      </c>
      <c r="I21" s="19" t="s">
        <v>1</v>
      </c>
      <c r="J21" s="19">
        <f>Assumptions!$D$18</f>
        <v>3700</v>
      </c>
      <c r="K21" s="33">
        <f t="shared" si="10"/>
        <v>-4.6354966666666666</v>
      </c>
      <c r="L21" s="33">
        <f t="shared" si="11"/>
        <v>-106.09520000000001</v>
      </c>
      <c r="M21" s="34">
        <f t="shared" si="12"/>
        <v>1.6517010060934521</v>
      </c>
      <c r="N21" s="34">
        <f t="shared" si="13"/>
        <v>-1.851710560561888</v>
      </c>
      <c r="O21" s="35">
        <f t="shared" si="14"/>
        <v>10</v>
      </c>
      <c r="P21" s="35">
        <f t="shared" si="15"/>
        <v>5</v>
      </c>
      <c r="Q21" s="11">
        <f>Assumptions!$D$3</f>
        <v>11</v>
      </c>
      <c r="R21" s="11">
        <f t="shared" si="16"/>
        <v>0.5</v>
      </c>
      <c r="S21" s="11">
        <f>Assumptions!$D$5</f>
        <v>0.5</v>
      </c>
      <c r="T21" s="11">
        <f>ROUND(J21/Assumptions!$D$9/60,1)</f>
        <v>1.2</v>
      </c>
      <c r="U21" s="11">
        <f>Assumptions!$D$11</f>
        <v>1.25</v>
      </c>
      <c r="V21" s="36">
        <f t="shared" si="17"/>
        <v>2.95</v>
      </c>
      <c r="W21" s="37">
        <f t="shared" si="18"/>
        <v>43796.829166666634</v>
      </c>
      <c r="X21" s="38">
        <f t="shared" si="19"/>
        <v>43796.849999999969</v>
      </c>
      <c r="Y21" s="11">
        <f t="shared" si="20"/>
        <v>274.39999999932479</v>
      </c>
      <c r="Z21" s="11">
        <f t="shared" si="21"/>
        <v>11.4333333333052</v>
      </c>
    </row>
    <row r="22" spans="1:26" x14ac:dyDescent="0.2">
      <c r="A22" s="19" t="s">
        <v>51</v>
      </c>
      <c r="B22" s="19" t="s">
        <v>97</v>
      </c>
      <c r="C22" s="19" t="s">
        <v>84</v>
      </c>
      <c r="D22" s="19">
        <v>4</v>
      </c>
      <c r="E22" s="19">
        <v>38.9985</v>
      </c>
      <c r="F22" s="19" t="s">
        <v>27</v>
      </c>
      <c r="G22" s="19">
        <v>106</v>
      </c>
      <c r="H22" s="19">
        <v>0.42230000000000001</v>
      </c>
      <c r="I22" s="19" t="s">
        <v>1</v>
      </c>
      <c r="J22" s="19">
        <f>Assumptions!$D$18</f>
        <v>3700</v>
      </c>
      <c r="K22" s="33">
        <f t="shared" si="10"/>
        <v>-4.6499749999999995</v>
      </c>
      <c r="L22" s="33">
        <f t="shared" si="11"/>
        <v>-106.00703833333333</v>
      </c>
      <c r="M22" s="34">
        <f t="shared" si="12"/>
        <v>1.6519537006803198</v>
      </c>
      <c r="N22" s="34">
        <f t="shared" si="13"/>
        <v>-1.8501718492045087</v>
      </c>
      <c r="O22" s="35">
        <f t="shared" si="14"/>
        <v>10</v>
      </c>
      <c r="P22" s="35">
        <f t="shared" si="15"/>
        <v>5</v>
      </c>
      <c r="Q22" s="11">
        <f>Assumptions!$D$3</f>
        <v>11</v>
      </c>
      <c r="R22" s="11">
        <f t="shared" si="16"/>
        <v>0.5</v>
      </c>
      <c r="S22" s="11">
        <f>Assumptions!$D$5</f>
        <v>0.5</v>
      </c>
      <c r="T22" s="11">
        <f>ROUND(J22/Assumptions!$D$9/60,1)</f>
        <v>1.2</v>
      </c>
      <c r="U22" s="11">
        <f>Assumptions!$D$11</f>
        <v>1.25</v>
      </c>
      <c r="V22" s="36">
        <f t="shared" si="17"/>
        <v>2.95</v>
      </c>
      <c r="W22" s="37">
        <f t="shared" si="18"/>
        <v>43796.972916666637</v>
      </c>
      <c r="X22" s="38">
        <f t="shared" si="19"/>
        <v>43796.993749999972</v>
      </c>
      <c r="Y22" s="11">
        <f t="shared" si="20"/>
        <v>277.84999999939464</v>
      </c>
      <c r="Z22" s="11">
        <f t="shared" si="21"/>
        <v>11.57708333330811</v>
      </c>
    </row>
    <row r="23" spans="1:26" x14ac:dyDescent="0.2">
      <c r="A23" s="19" t="s">
        <v>52</v>
      </c>
      <c r="B23" s="19" t="s">
        <v>97</v>
      </c>
      <c r="C23" s="19" t="s">
        <v>84</v>
      </c>
      <c r="D23" s="19">
        <v>4</v>
      </c>
      <c r="E23" s="19">
        <v>39.905099999999997</v>
      </c>
      <c r="F23" s="19" t="s">
        <v>27</v>
      </c>
      <c r="G23" s="19">
        <v>105</v>
      </c>
      <c r="H23" s="19">
        <v>55.093800000000002</v>
      </c>
      <c r="I23" s="19" t="s">
        <v>1</v>
      </c>
      <c r="J23" s="19">
        <f>Assumptions!$D$18</f>
        <v>3700</v>
      </c>
      <c r="K23" s="33">
        <f t="shared" si="10"/>
        <v>-4.6650849999999995</v>
      </c>
      <c r="L23" s="33">
        <f t="shared" si="11"/>
        <v>-105.91822999999999</v>
      </c>
      <c r="M23" s="34">
        <f t="shared" si="12"/>
        <v>1.6522174199302964</v>
      </c>
      <c r="N23" s="34">
        <f t="shared" si="13"/>
        <v>-1.8486218513846335</v>
      </c>
      <c r="O23" s="35">
        <f t="shared" si="14"/>
        <v>10</v>
      </c>
      <c r="P23" s="35">
        <f t="shared" si="15"/>
        <v>5</v>
      </c>
      <c r="Q23" s="11">
        <f>Assumptions!$D$3</f>
        <v>11</v>
      </c>
      <c r="R23" s="11">
        <f t="shared" si="16"/>
        <v>0.5</v>
      </c>
      <c r="S23" s="11">
        <f>Assumptions!$D$5</f>
        <v>0.5</v>
      </c>
      <c r="T23" s="11">
        <f>ROUND(J23/Assumptions!$D$9/60,1)</f>
        <v>1.2</v>
      </c>
      <c r="U23" s="11">
        <f>Assumptions!$D$11</f>
        <v>1.25</v>
      </c>
      <c r="V23" s="36">
        <f t="shared" si="17"/>
        <v>2.95</v>
      </c>
      <c r="W23" s="37">
        <f t="shared" si="18"/>
        <v>43797.11666666664</v>
      </c>
      <c r="X23" s="38">
        <f t="shared" si="19"/>
        <v>43797.137499999975</v>
      </c>
      <c r="Y23" s="11">
        <f t="shared" si="20"/>
        <v>281.29999999946449</v>
      </c>
      <c r="Z23" s="11">
        <f t="shared" si="21"/>
        <v>11.72083333331102</v>
      </c>
    </row>
    <row r="24" spans="1:26" x14ac:dyDescent="0.2">
      <c r="A24" s="19" t="s">
        <v>53</v>
      </c>
      <c r="B24" s="19" t="s">
        <v>97</v>
      </c>
      <c r="C24" s="19" t="s">
        <v>84</v>
      </c>
      <c r="D24" s="19">
        <v>4</v>
      </c>
      <c r="E24" s="19">
        <v>40.773800000000001</v>
      </c>
      <c r="F24" s="19" t="s">
        <v>27</v>
      </c>
      <c r="G24" s="19">
        <v>105</v>
      </c>
      <c r="H24" s="19">
        <v>49.765300000000003</v>
      </c>
      <c r="I24" s="19" t="s">
        <v>1</v>
      </c>
      <c r="J24" s="19">
        <f>Assumptions!$D$18</f>
        <v>3700</v>
      </c>
      <c r="K24" s="33">
        <f t="shared" si="10"/>
        <v>-4.6795633333333333</v>
      </c>
      <c r="L24" s="33">
        <f t="shared" si="11"/>
        <v>-105.82942166666666</v>
      </c>
      <c r="M24" s="34">
        <f t="shared" si="12"/>
        <v>1.6524701145171641</v>
      </c>
      <c r="N24" s="34">
        <f t="shared" si="13"/>
        <v>-1.8470718535647581</v>
      </c>
      <c r="O24" s="35">
        <f t="shared" si="14"/>
        <v>10</v>
      </c>
      <c r="P24" s="35">
        <f t="shared" si="15"/>
        <v>5</v>
      </c>
      <c r="Q24" s="11">
        <f>Assumptions!$D$3</f>
        <v>11</v>
      </c>
      <c r="R24" s="11">
        <f t="shared" si="16"/>
        <v>0.5</v>
      </c>
      <c r="S24" s="11">
        <f>Assumptions!$D$5</f>
        <v>0.5</v>
      </c>
      <c r="T24" s="11">
        <f>ROUND(J24/Assumptions!$D$9/60,1)</f>
        <v>1.2</v>
      </c>
      <c r="U24" s="11">
        <f>Assumptions!$D$11</f>
        <v>1.25</v>
      </c>
      <c r="V24" s="36">
        <f t="shared" si="17"/>
        <v>2.95</v>
      </c>
      <c r="W24" s="37">
        <f t="shared" si="18"/>
        <v>43797.260416666642</v>
      </c>
      <c r="X24" s="38">
        <f t="shared" si="19"/>
        <v>43797.281249999978</v>
      </c>
      <c r="Y24" s="11">
        <f t="shared" si="20"/>
        <v>284.74999999953434</v>
      </c>
      <c r="Z24" s="11">
        <f t="shared" si="21"/>
        <v>11.864583333313931</v>
      </c>
    </row>
    <row r="25" spans="1:26" x14ac:dyDescent="0.2">
      <c r="A25" s="19" t="s">
        <v>54</v>
      </c>
      <c r="B25" s="19" t="s">
        <v>97</v>
      </c>
      <c r="C25" s="19" t="s">
        <v>84</v>
      </c>
      <c r="D25" s="19">
        <v>4</v>
      </c>
      <c r="E25" s="19">
        <v>41.642600000000002</v>
      </c>
      <c r="F25" s="19" t="s">
        <v>27</v>
      </c>
      <c r="G25" s="19">
        <v>105</v>
      </c>
      <c r="H25" s="19">
        <v>44.4756</v>
      </c>
      <c r="I25" s="19" t="s">
        <v>1</v>
      </c>
      <c r="J25" s="19">
        <f>Assumptions!$D$18</f>
        <v>3700</v>
      </c>
      <c r="K25" s="33">
        <f t="shared" si="10"/>
        <v>-4.6940433333333331</v>
      </c>
      <c r="L25" s="33">
        <f t="shared" si="11"/>
        <v>-105.74126</v>
      </c>
      <c r="M25" s="34">
        <f t="shared" si="12"/>
        <v>1.6527228381928529</v>
      </c>
      <c r="N25" s="34">
        <f t="shared" si="13"/>
        <v>-1.8455331422073791</v>
      </c>
      <c r="O25" s="35">
        <f t="shared" si="14"/>
        <v>10</v>
      </c>
      <c r="P25" s="35">
        <f t="shared" si="15"/>
        <v>5</v>
      </c>
      <c r="Q25" s="11">
        <f>Assumptions!$D$3</f>
        <v>11</v>
      </c>
      <c r="R25" s="11">
        <f t="shared" si="16"/>
        <v>0.5</v>
      </c>
      <c r="S25" s="11">
        <f>Assumptions!$D$5</f>
        <v>0.5</v>
      </c>
      <c r="T25" s="11">
        <f>ROUND(J25/Assumptions!$D$9/60,1)</f>
        <v>1.2</v>
      </c>
      <c r="U25" s="11">
        <f>Assumptions!$D$11</f>
        <v>1.25</v>
      </c>
      <c r="V25" s="36">
        <f t="shared" si="17"/>
        <v>2.95</v>
      </c>
      <c r="W25" s="37">
        <f t="shared" si="18"/>
        <v>43797.404166666645</v>
      </c>
      <c r="X25" s="38">
        <f t="shared" si="19"/>
        <v>43797.424999999981</v>
      </c>
      <c r="Y25" s="11">
        <f t="shared" si="20"/>
        <v>288.19999999960419</v>
      </c>
      <c r="Z25" s="11">
        <f t="shared" si="21"/>
        <v>12.008333333316841</v>
      </c>
    </row>
    <row r="26" spans="1:26" x14ac:dyDescent="0.2">
      <c r="A26" s="19" t="s">
        <v>55</v>
      </c>
      <c r="B26" s="19" t="s">
        <v>97</v>
      </c>
      <c r="C26" s="19" t="s">
        <v>84</v>
      </c>
      <c r="D26" s="19">
        <v>4</v>
      </c>
      <c r="E26" s="19">
        <v>42.511400000000002</v>
      </c>
      <c r="F26" s="19" t="s">
        <v>27</v>
      </c>
      <c r="G26" s="19">
        <v>105</v>
      </c>
      <c r="H26" s="19">
        <v>39.1081</v>
      </c>
      <c r="I26" s="19" t="s">
        <v>1</v>
      </c>
      <c r="J26" s="19">
        <f>Assumptions!$D$18</f>
        <v>3700</v>
      </c>
      <c r="K26" s="33">
        <f t="shared" si="10"/>
        <v>-4.7085233333333338</v>
      </c>
      <c r="L26" s="33">
        <f t="shared" si="11"/>
        <v>-105.65180166666667</v>
      </c>
      <c r="M26" s="34">
        <f t="shared" si="12"/>
        <v>1.6529755618685418</v>
      </c>
      <c r="N26" s="34">
        <f t="shared" si="13"/>
        <v>-1.8439717997473659</v>
      </c>
      <c r="O26" s="35">
        <f t="shared" si="14"/>
        <v>33</v>
      </c>
      <c r="P26" s="35">
        <f t="shared" si="15"/>
        <v>18</v>
      </c>
      <c r="Q26" s="11">
        <f>Assumptions!$D$3</f>
        <v>11</v>
      </c>
      <c r="R26" s="11">
        <f t="shared" si="16"/>
        <v>1.6</v>
      </c>
      <c r="S26" s="11">
        <f>Assumptions!$D$5</f>
        <v>0.5</v>
      </c>
      <c r="T26" s="11">
        <f>ROUND(J26/Assumptions!$D$9/60,1)</f>
        <v>1.2</v>
      </c>
      <c r="U26" s="11">
        <f>Assumptions!$D$11</f>
        <v>1.25</v>
      </c>
      <c r="V26" s="36">
        <f t="shared" si="17"/>
        <v>2.95</v>
      </c>
      <c r="W26" s="37">
        <f t="shared" si="18"/>
        <v>43797.547916666648</v>
      </c>
      <c r="X26" s="38">
        <f t="shared" si="19"/>
        <v>43797.614583333314</v>
      </c>
      <c r="Y26" s="11">
        <f t="shared" si="20"/>
        <v>292.74999999959255</v>
      </c>
      <c r="Z26" s="11">
        <f t="shared" si="21"/>
        <v>12.197916666649689</v>
      </c>
    </row>
    <row r="27" spans="1:26" x14ac:dyDescent="0.2">
      <c r="A27" s="39" t="s">
        <v>56</v>
      </c>
      <c r="B27" s="39" t="s">
        <v>98</v>
      </c>
      <c r="C27" s="39" t="s">
        <v>84</v>
      </c>
      <c r="D27" s="39">
        <v>4</v>
      </c>
      <c r="E27" s="39">
        <v>35.674599999999998</v>
      </c>
      <c r="F27" s="39" t="s">
        <v>27</v>
      </c>
      <c r="G27" s="39">
        <v>105</v>
      </c>
      <c r="H27" s="39">
        <v>55.783700000000003</v>
      </c>
      <c r="I27" s="39" t="s">
        <v>1</v>
      </c>
      <c r="J27" s="39">
        <f>Assumptions!$D$18</f>
        <v>3700</v>
      </c>
      <c r="K27" s="40">
        <f t="shared" si="10"/>
        <v>-4.5945766666666668</v>
      </c>
      <c r="L27" s="40">
        <f t="shared" si="11"/>
        <v>-105.92972833333333</v>
      </c>
      <c r="M27" s="41">
        <f t="shared" si="12"/>
        <v>1.650986817363536</v>
      </c>
      <c r="N27" s="41">
        <f t="shared" si="13"/>
        <v>-1.848822535159792</v>
      </c>
      <c r="O27" s="42">
        <f t="shared" si="14"/>
        <v>0</v>
      </c>
      <c r="P27" s="42">
        <f t="shared" si="15"/>
        <v>0</v>
      </c>
      <c r="Q27" s="43">
        <f>Assumptions!$D$3</f>
        <v>11</v>
      </c>
      <c r="R27" s="43">
        <f t="shared" si="16"/>
        <v>0</v>
      </c>
      <c r="S27" s="43">
        <f>Assumptions!$D$6</f>
        <v>0.5</v>
      </c>
      <c r="T27" s="43">
        <f>ROUND(J27/Assumptions!$D$13/60,1) + ROUND(J27/Assumptions!$D$15/60,1) + Assumptions!$D$16</f>
        <v>3.3</v>
      </c>
      <c r="U27" s="43">
        <v>0</v>
      </c>
      <c r="V27" s="44">
        <f t="shared" si="17"/>
        <v>3.8</v>
      </c>
      <c r="W27" s="45">
        <f t="shared" si="18"/>
        <v>43797.772916666647</v>
      </c>
      <c r="X27" s="46">
        <f t="shared" si="19"/>
        <v>43797.772916666647</v>
      </c>
      <c r="Y27" s="43">
        <f t="shared" si="20"/>
        <v>296.5499999995809</v>
      </c>
      <c r="Z27" s="43">
        <f t="shared" si="21"/>
        <v>12.356249999982538</v>
      </c>
    </row>
    <row r="28" spans="1:26" x14ac:dyDescent="0.2">
      <c r="A28" s="39" t="s">
        <v>57</v>
      </c>
      <c r="B28" s="39" t="s">
        <v>98</v>
      </c>
      <c r="C28" s="39" t="s">
        <v>84</v>
      </c>
      <c r="D28" s="39">
        <v>4</v>
      </c>
      <c r="E28" s="39">
        <v>35.674599999999998</v>
      </c>
      <c r="F28" s="39" t="s">
        <v>27</v>
      </c>
      <c r="G28" s="39">
        <v>105</v>
      </c>
      <c r="H28" s="39">
        <v>55.783700000000003</v>
      </c>
      <c r="I28" s="39" t="s">
        <v>1</v>
      </c>
      <c r="J28" s="39">
        <f>Assumptions!$D$18</f>
        <v>3700</v>
      </c>
      <c r="K28" s="40">
        <f t="shared" si="10"/>
        <v>-4.5945766666666668</v>
      </c>
      <c r="L28" s="40">
        <f t="shared" si="11"/>
        <v>-105.92972833333333</v>
      </c>
      <c r="M28" s="41">
        <f t="shared" si="12"/>
        <v>1.650986817363536</v>
      </c>
      <c r="N28" s="41">
        <f t="shared" si="13"/>
        <v>-1.848822535159792</v>
      </c>
      <c r="O28" s="42">
        <f t="shared" si="14"/>
        <v>0</v>
      </c>
      <c r="P28" s="42">
        <f t="shared" si="15"/>
        <v>0</v>
      </c>
      <c r="Q28" s="43">
        <f>Assumptions!$D$3</f>
        <v>11</v>
      </c>
      <c r="R28" s="43">
        <f t="shared" si="16"/>
        <v>0</v>
      </c>
      <c r="S28" s="43">
        <f>Assumptions!$D$6</f>
        <v>0.5</v>
      </c>
      <c r="T28" s="43">
        <f>ROUND(J28/Assumptions!$D$13/60,1) + ROUND(J28/Assumptions!$D$15/60,1) + Assumptions!$D$16</f>
        <v>3.3</v>
      </c>
      <c r="U28" s="43">
        <v>0</v>
      </c>
      <c r="V28" s="44">
        <f t="shared" si="17"/>
        <v>3.8</v>
      </c>
      <c r="W28" s="45">
        <f t="shared" si="18"/>
        <v>43797.93124999998</v>
      </c>
      <c r="X28" s="46">
        <f t="shared" si="19"/>
        <v>43797.93124999998</v>
      </c>
      <c r="Y28" s="43">
        <f t="shared" si="20"/>
        <v>300.34999999956926</v>
      </c>
      <c r="Z28" s="43">
        <f t="shared" si="21"/>
        <v>12.514583333315386</v>
      </c>
    </row>
    <row r="29" spans="1:26" x14ac:dyDescent="0.2">
      <c r="A29" s="39" t="s">
        <v>58</v>
      </c>
      <c r="B29" s="39" t="s">
        <v>98</v>
      </c>
      <c r="C29" s="39" t="s">
        <v>84</v>
      </c>
      <c r="D29" s="39">
        <v>4</v>
      </c>
      <c r="E29" s="39">
        <v>35.674599999999998</v>
      </c>
      <c r="F29" s="39" t="s">
        <v>27</v>
      </c>
      <c r="G29" s="39">
        <v>105</v>
      </c>
      <c r="H29" s="39">
        <v>55.783700000000003</v>
      </c>
      <c r="I29" s="39" t="s">
        <v>1</v>
      </c>
      <c r="J29" s="39">
        <f>Assumptions!$D$18</f>
        <v>3700</v>
      </c>
      <c r="K29" s="40">
        <f t="shared" si="10"/>
        <v>-4.5945766666666668</v>
      </c>
      <c r="L29" s="40">
        <f t="shared" si="11"/>
        <v>-105.92972833333333</v>
      </c>
      <c r="M29" s="41">
        <f t="shared" si="12"/>
        <v>1.650986817363536</v>
      </c>
      <c r="N29" s="41">
        <f t="shared" si="13"/>
        <v>-1.848822535159792</v>
      </c>
      <c r="O29" s="42">
        <f t="shared" si="14"/>
        <v>0</v>
      </c>
      <c r="P29" s="42">
        <f t="shared" si="15"/>
        <v>0</v>
      </c>
      <c r="Q29" s="43">
        <f>Assumptions!$D$3</f>
        <v>11</v>
      </c>
      <c r="R29" s="43">
        <f t="shared" si="16"/>
        <v>0</v>
      </c>
      <c r="S29" s="43">
        <f>Assumptions!$D$6</f>
        <v>0.5</v>
      </c>
      <c r="T29" s="43">
        <f>ROUND(J29/Assumptions!$D$13/60,1) + ROUND(J29/Assumptions!$D$15/60,1) + Assumptions!$D$16</f>
        <v>3.3</v>
      </c>
      <c r="U29" s="43">
        <v>0</v>
      </c>
      <c r="V29" s="44">
        <f t="shared" si="17"/>
        <v>3.8</v>
      </c>
      <c r="W29" s="45">
        <f t="shared" si="18"/>
        <v>43798.089583333312</v>
      </c>
      <c r="X29" s="46">
        <f t="shared" si="19"/>
        <v>43798.089583333312</v>
      </c>
      <c r="Y29" s="43">
        <f t="shared" si="20"/>
        <v>304.14999999955762</v>
      </c>
      <c r="Z29" s="43">
        <f t="shared" si="21"/>
        <v>12.672916666648234</v>
      </c>
    </row>
    <row r="30" spans="1:26" x14ac:dyDescent="0.2">
      <c r="A30" s="39" t="s">
        <v>59</v>
      </c>
      <c r="B30" s="39" t="s">
        <v>98</v>
      </c>
      <c r="C30" s="39" t="s">
        <v>84</v>
      </c>
      <c r="D30" s="39">
        <v>4</v>
      </c>
      <c r="E30" s="39">
        <v>35.674599999999998</v>
      </c>
      <c r="F30" s="39" t="s">
        <v>27</v>
      </c>
      <c r="G30" s="39">
        <v>105</v>
      </c>
      <c r="H30" s="39">
        <v>55.783700000000003</v>
      </c>
      <c r="I30" s="39" t="s">
        <v>1</v>
      </c>
      <c r="J30" s="39">
        <f>Assumptions!$D$18</f>
        <v>3700</v>
      </c>
      <c r="K30" s="40">
        <f t="shared" si="10"/>
        <v>-4.5945766666666668</v>
      </c>
      <c r="L30" s="40">
        <f t="shared" si="11"/>
        <v>-105.92972833333333</v>
      </c>
      <c r="M30" s="41">
        <f t="shared" si="12"/>
        <v>1.650986817363536</v>
      </c>
      <c r="N30" s="41">
        <f t="shared" si="13"/>
        <v>-1.848822535159792</v>
      </c>
      <c r="O30" s="42">
        <f t="shared" si="14"/>
        <v>0</v>
      </c>
      <c r="P30" s="42">
        <f t="shared" si="15"/>
        <v>0</v>
      </c>
      <c r="Q30" s="43">
        <f>Assumptions!$D$3</f>
        <v>11</v>
      </c>
      <c r="R30" s="43">
        <f t="shared" si="16"/>
        <v>0</v>
      </c>
      <c r="S30" s="43">
        <f>Assumptions!$D$6</f>
        <v>0.5</v>
      </c>
      <c r="T30" s="43">
        <f>ROUND(J30/Assumptions!$D$13/60,1) + ROUND(J30/Assumptions!$D$15/60,1) + Assumptions!$D$16</f>
        <v>3.3</v>
      </c>
      <c r="U30" s="43">
        <v>0</v>
      </c>
      <c r="V30" s="44">
        <f t="shared" si="17"/>
        <v>3.8</v>
      </c>
      <c r="W30" s="45">
        <f t="shared" si="18"/>
        <v>43798.247916666645</v>
      </c>
      <c r="X30" s="46">
        <f t="shared" si="19"/>
        <v>43798.247916666645</v>
      </c>
      <c r="Y30" s="43">
        <f t="shared" si="20"/>
        <v>307.94999999954598</v>
      </c>
      <c r="Z30" s="43">
        <f t="shared" si="21"/>
        <v>12.831249999981083</v>
      </c>
    </row>
    <row r="31" spans="1:26" x14ac:dyDescent="0.2">
      <c r="A31" s="39" t="s">
        <v>60</v>
      </c>
      <c r="B31" s="39" t="s">
        <v>98</v>
      </c>
      <c r="C31" s="39" t="s">
        <v>84</v>
      </c>
      <c r="D31" s="39">
        <v>4</v>
      </c>
      <c r="E31" s="39">
        <v>35.674599999999998</v>
      </c>
      <c r="F31" s="39" t="s">
        <v>27</v>
      </c>
      <c r="G31" s="39">
        <v>105</v>
      </c>
      <c r="H31" s="39">
        <v>55.783700000000003</v>
      </c>
      <c r="I31" s="39" t="s">
        <v>1</v>
      </c>
      <c r="J31" s="39">
        <f>Assumptions!$D$18</f>
        <v>3700</v>
      </c>
      <c r="K31" s="40">
        <f t="shared" si="10"/>
        <v>-4.5945766666666668</v>
      </c>
      <c r="L31" s="40">
        <f t="shared" si="11"/>
        <v>-105.92972833333333</v>
      </c>
      <c r="M31" s="41">
        <f t="shared" si="12"/>
        <v>1.650986817363536</v>
      </c>
      <c r="N31" s="41">
        <f t="shared" si="13"/>
        <v>-1.848822535159792</v>
      </c>
      <c r="O31" s="42">
        <f t="shared" si="14"/>
        <v>0</v>
      </c>
      <c r="P31" s="42">
        <f t="shared" si="15"/>
        <v>0</v>
      </c>
      <c r="Q31" s="43">
        <f>Assumptions!$D$3</f>
        <v>11</v>
      </c>
      <c r="R31" s="43">
        <f t="shared" si="16"/>
        <v>0</v>
      </c>
      <c r="S31" s="43">
        <f>Assumptions!$D$6</f>
        <v>0.5</v>
      </c>
      <c r="T31" s="43">
        <f>ROUND(J31/Assumptions!$D$13/60,1) + ROUND(J31/Assumptions!$D$15/60,1) + Assumptions!$D$16</f>
        <v>3.3</v>
      </c>
      <c r="U31" s="43">
        <v>0</v>
      </c>
      <c r="V31" s="44">
        <f t="shared" si="17"/>
        <v>3.8</v>
      </c>
      <c r="W31" s="45">
        <f t="shared" si="18"/>
        <v>43798.406249999978</v>
      </c>
      <c r="X31" s="46">
        <f t="shared" si="19"/>
        <v>43798.406249999978</v>
      </c>
      <c r="Y31" s="43">
        <f t="shared" si="20"/>
        <v>311.74999999953434</v>
      </c>
      <c r="Z31" s="43">
        <f t="shared" si="21"/>
        <v>12.989583333313931</v>
      </c>
    </row>
    <row r="32" spans="1:26" x14ac:dyDescent="0.2">
      <c r="A32" s="39" t="s">
        <v>61</v>
      </c>
      <c r="B32" s="39" t="s">
        <v>98</v>
      </c>
      <c r="C32" s="39" t="s">
        <v>84</v>
      </c>
      <c r="D32" s="39">
        <v>4</v>
      </c>
      <c r="E32" s="39">
        <v>35.674599999999998</v>
      </c>
      <c r="F32" s="39" t="s">
        <v>27</v>
      </c>
      <c r="G32" s="39">
        <v>105</v>
      </c>
      <c r="H32" s="39">
        <v>55.783700000000003</v>
      </c>
      <c r="I32" s="39" t="s">
        <v>1</v>
      </c>
      <c r="J32" s="39">
        <f>Assumptions!$D$18</f>
        <v>3700</v>
      </c>
      <c r="K32" s="40">
        <f t="shared" si="10"/>
        <v>-4.5945766666666668</v>
      </c>
      <c r="L32" s="40">
        <f t="shared" si="11"/>
        <v>-105.92972833333333</v>
      </c>
      <c r="M32" s="41">
        <f t="shared" si="12"/>
        <v>1.650986817363536</v>
      </c>
      <c r="N32" s="41">
        <f t="shared" si="13"/>
        <v>-1.848822535159792</v>
      </c>
      <c r="O32" s="42">
        <f t="shared" si="14"/>
        <v>0</v>
      </c>
      <c r="P32" s="42">
        <f t="shared" si="15"/>
        <v>0</v>
      </c>
      <c r="Q32" s="43">
        <f>Assumptions!$D$3</f>
        <v>11</v>
      </c>
      <c r="R32" s="43">
        <f t="shared" si="16"/>
        <v>0</v>
      </c>
      <c r="S32" s="43">
        <f>Assumptions!$D$6</f>
        <v>0.5</v>
      </c>
      <c r="T32" s="43">
        <f>ROUND(J32/Assumptions!$D$13/60,1) + ROUND(J32/Assumptions!$D$15/60,1) + Assumptions!$D$16</f>
        <v>3.3</v>
      </c>
      <c r="U32" s="43">
        <v>0</v>
      </c>
      <c r="V32" s="44">
        <f t="shared" si="17"/>
        <v>3.8</v>
      </c>
      <c r="W32" s="45">
        <f t="shared" si="18"/>
        <v>43798.564583333311</v>
      </c>
      <c r="X32" s="46">
        <f t="shared" si="19"/>
        <v>43798.564583333311</v>
      </c>
      <c r="Y32" s="43">
        <f t="shared" si="20"/>
        <v>315.5499999995227</v>
      </c>
      <c r="Z32" s="43">
        <f t="shared" si="21"/>
        <v>13.147916666646779</v>
      </c>
    </row>
    <row r="33" spans="1:26" x14ac:dyDescent="0.2">
      <c r="A33" s="39" t="s">
        <v>62</v>
      </c>
      <c r="B33" s="39" t="s">
        <v>98</v>
      </c>
      <c r="C33" s="39" t="s">
        <v>84</v>
      </c>
      <c r="D33" s="39">
        <v>4</v>
      </c>
      <c r="E33" s="39">
        <v>35.674599999999998</v>
      </c>
      <c r="F33" s="39" t="s">
        <v>27</v>
      </c>
      <c r="G33" s="39">
        <v>105</v>
      </c>
      <c r="H33" s="39">
        <v>55.783700000000003</v>
      </c>
      <c r="I33" s="39" t="s">
        <v>1</v>
      </c>
      <c r="J33" s="39">
        <f>Assumptions!$D$18</f>
        <v>3700</v>
      </c>
      <c r="K33" s="40">
        <f t="shared" si="10"/>
        <v>-4.5945766666666668</v>
      </c>
      <c r="L33" s="40">
        <f t="shared" si="11"/>
        <v>-105.92972833333333</v>
      </c>
      <c r="M33" s="41">
        <f t="shared" si="12"/>
        <v>1.650986817363536</v>
      </c>
      <c r="N33" s="41">
        <f t="shared" si="13"/>
        <v>-1.848822535159792</v>
      </c>
      <c r="O33" s="42">
        <f t="shared" si="14"/>
        <v>3</v>
      </c>
      <c r="P33" s="42">
        <f t="shared" si="15"/>
        <v>2</v>
      </c>
      <c r="Q33" s="43">
        <f>Assumptions!$D$3</f>
        <v>11</v>
      </c>
      <c r="R33" s="43">
        <f t="shared" si="16"/>
        <v>0.2</v>
      </c>
      <c r="S33" s="43">
        <f>Assumptions!$D$6</f>
        <v>0.5</v>
      </c>
      <c r="T33" s="43">
        <f>ROUND(J33/Assumptions!$D$13/60,1) + ROUND(J33/Assumptions!$D$15/60,1) + Assumptions!$D$16</f>
        <v>3.3</v>
      </c>
      <c r="U33" s="43">
        <v>0</v>
      </c>
      <c r="V33" s="44">
        <f t="shared" si="17"/>
        <v>3.8</v>
      </c>
      <c r="W33" s="45">
        <f t="shared" si="18"/>
        <v>43798.722916666644</v>
      </c>
      <c r="X33" s="46">
        <f t="shared" si="19"/>
        <v>43798.731249999975</v>
      </c>
      <c r="Y33" s="43">
        <f t="shared" si="20"/>
        <v>319.54999999946449</v>
      </c>
      <c r="Z33" s="43">
        <f t="shared" si="21"/>
        <v>13.31458333331102</v>
      </c>
    </row>
    <row r="34" spans="1:26" x14ac:dyDescent="0.2">
      <c r="A34" s="39" t="s">
        <v>63</v>
      </c>
      <c r="B34" s="39" t="s">
        <v>98</v>
      </c>
      <c r="C34" s="39" t="s">
        <v>84</v>
      </c>
      <c r="D34" s="39">
        <v>4</v>
      </c>
      <c r="E34" s="39">
        <v>36.392299999999999</v>
      </c>
      <c r="F34" s="39" t="s">
        <v>27</v>
      </c>
      <c r="G34" s="39">
        <v>105</v>
      </c>
      <c r="H34" s="39">
        <v>56.991700000000002</v>
      </c>
      <c r="I34" s="39" t="s">
        <v>1</v>
      </c>
      <c r="J34" s="39">
        <f>Assumptions!$D$18</f>
        <v>3700</v>
      </c>
      <c r="K34" s="40">
        <f t="shared" si="10"/>
        <v>-4.606538333333333</v>
      </c>
      <c r="L34" s="40">
        <f t="shared" si="11"/>
        <v>-105.94986166666666</v>
      </c>
      <c r="M34" s="41">
        <f t="shared" si="12"/>
        <v>1.6511955878308953</v>
      </c>
      <c r="N34" s="41">
        <f t="shared" si="13"/>
        <v>-1.8491739281158601</v>
      </c>
      <c r="O34" s="42">
        <f t="shared" si="14"/>
        <v>0</v>
      </c>
      <c r="P34" s="42">
        <f t="shared" si="15"/>
        <v>0</v>
      </c>
      <c r="Q34" s="43">
        <f>Assumptions!$D$3</f>
        <v>11</v>
      </c>
      <c r="R34" s="43">
        <f t="shared" si="16"/>
        <v>0</v>
      </c>
      <c r="S34" s="43">
        <f>Assumptions!$D$6</f>
        <v>0.5</v>
      </c>
      <c r="T34" s="43">
        <f>ROUND(J34/Assumptions!$D$13/60,1) + ROUND(J34/Assumptions!$D$15/60,1) + Assumptions!$D$16</f>
        <v>3.3</v>
      </c>
      <c r="U34" s="43">
        <v>0</v>
      </c>
      <c r="V34" s="44">
        <f t="shared" si="17"/>
        <v>3.8</v>
      </c>
      <c r="W34" s="45">
        <f t="shared" si="18"/>
        <v>43798.889583333308</v>
      </c>
      <c r="X34" s="46">
        <f t="shared" si="19"/>
        <v>43798.889583333308</v>
      </c>
      <c r="Y34" s="43">
        <f t="shared" si="20"/>
        <v>323.34999999945285</v>
      </c>
      <c r="Z34" s="43">
        <f t="shared" si="21"/>
        <v>13.472916666643869</v>
      </c>
    </row>
    <row r="35" spans="1:26" x14ac:dyDescent="0.2">
      <c r="A35" s="39" t="s">
        <v>64</v>
      </c>
      <c r="B35" s="39" t="s">
        <v>98</v>
      </c>
      <c r="C35" s="39" t="s">
        <v>84</v>
      </c>
      <c r="D35" s="39">
        <v>4</v>
      </c>
      <c r="E35" s="39">
        <v>36.392299999999999</v>
      </c>
      <c r="F35" s="39" t="s">
        <v>27</v>
      </c>
      <c r="G35" s="39">
        <v>105</v>
      </c>
      <c r="H35" s="39">
        <v>56.991700000000002</v>
      </c>
      <c r="I35" s="39" t="s">
        <v>1</v>
      </c>
      <c r="J35" s="39">
        <f>Assumptions!$D$18</f>
        <v>3700</v>
      </c>
      <c r="K35" s="40">
        <f t="shared" si="10"/>
        <v>-4.606538333333333</v>
      </c>
      <c r="L35" s="40">
        <f t="shared" si="11"/>
        <v>-105.94986166666666</v>
      </c>
      <c r="M35" s="41">
        <f t="shared" si="12"/>
        <v>1.6511955878308953</v>
      </c>
      <c r="N35" s="41">
        <f t="shared" si="13"/>
        <v>-1.8491739281158601</v>
      </c>
      <c r="O35" s="42">
        <f t="shared" si="14"/>
        <v>0</v>
      </c>
      <c r="P35" s="42">
        <f t="shared" si="15"/>
        <v>0</v>
      </c>
      <c r="Q35" s="43">
        <f>Assumptions!$D$3</f>
        <v>11</v>
      </c>
      <c r="R35" s="43">
        <f t="shared" si="16"/>
        <v>0</v>
      </c>
      <c r="S35" s="43">
        <f>Assumptions!$D$6</f>
        <v>0.5</v>
      </c>
      <c r="T35" s="43">
        <f>ROUND(J35/Assumptions!$D$13/60,1) + ROUND(J35/Assumptions!$D$15/60,1) + Assumptions!$D$16</f>
        <v>3.3</v>
      </c>
      <c r="U35" s="43">
        <v>0</v>
      </c>
      <c r="V35" s="44">
        <f t="shared" si="17"/>
        <v>3.8</v>
      </c>
      <c r="W35" s="45">
        <f t="shared" si="18"/>
        <v>43799.047916666641</v>
      </c>
      <c r="X35" s="46">
        <f t="shared" si="19"/>
        <v>43799.047916666641</v>
      </c>
      <c r="Y35" s="43">
        <f t="shared" si="20"/>
        <v>327.14999999944121</v>
      </c>
      <c r="Z35" s="43">
        <f t="shared" si="21"/>
        <v>13.631249999976717</v>
      </c>
    </row>
    <row r="36" spans="1:26" x14ac:dyDescent="0.2">
      <c r="A36" s="39" t="s">
        <v>65</v>
      </c>
      <c r="B36" s="39" t="s">
        <v>98</v>
      </c>
      <c r="C36" s="39" t="s">
        <v>84</v>
      </c>
      <c r="D36" s="39">
        <v>4</v>
      </c>
      <c r="E36" s="39">
        <v>36.392299999999999</v>
      </c>
      <c r="F36" s="39" t="s">
        <v>27</v>
      </c>
      <c r="G36" s="39">
        <v>105</v>
      </c>
      <c r="H36" s="39">
        <v>56.991700000000002</v>
      </c>
      <c r="I36" s="39" t="s">
        <v>1</v>
      </c>
      <c r="J36" s="39">
        <f>Assumptions!$D$18</f>
        <v>3700</v>
      </c>
      <c r="K36" s="40">
        <f t="shared" si="10"/>
        <v>-4.606538333333333</v>
      </c>
      <c r="L36" s="40">
        <f t="shared" si="11"/>
        <v>-105.94986166666666</v>
      </c>
      <c r="M36" s="41">
        <f t="shared" si="12"/>
        <v>1.6511955878308953</v>
      </c>
      <c r="N36" s="41">
        <f t="shared" si="13"/>
        <v>-1.8491739281158601</v>
      </c>
      <c r="O36" s="42">
        <f t="shared" si="14"/>
        <v>0</v>
      </c>
      <c r="P36" s="42">
        <f t="shared" si="15"/>
        <v>0</v>
      </c>
      <c r="Q36" s="43">
        <f>Assumptions!$D$3</f>
        <v>11</v>
      </c>
      <c r="R36" s="43">
        <f t="shared" si="16"/>
        <v>0</v>
      </c>
      <c r="S36" s="43">
        <f>Assumptions!$D$6</f>
        <v>0.5</v>
      </c>
      <c r="T36" s="43">
        <f>ROUND(J36/Assumptions!$D$13/60,1) + ROUND(J36/Assumptions!$D$15/60,1) + Assumptions!$D$16</f>
        <v>3.3</v>
      </c>
      <c r="U36" s="43">
        <v>0</v>
      </c>
      <c r="V36" s="44">
        <f t="shared" si="17"/>
        <v>3.8</v>
      </c>
      <c r="W36" s="45">
        <f t="shared" si="18"/>
        <v>43799.206249999974</v>
      </c>
      <c r="X36" s="46">
        <f t="shared" si="19"/>
        <v>43799.206249999974</v>
      </c>
      <c r="Y36" s="43">
        <f t="shared" si="20"/>
        <v>330.94999999942956</v>
      </c>
      <c r="Z36" s="43">
        <f t="shared" si="21"/>
        <v>13.789583333309565</v>
      </c>
    </row>
    <row r="37" spans="1:26" x14ac:dyDescent="0.2">
      <c r="A37" s="39" t="s">
        <v>66</v>
      </c>
      <c r="B37" s="39" t="s">
        <v>98</v>
      </c>
      <c r="C37" s="39" t="s">
        <v>84</v>
      </c>
      <c r="D37" s="39">
        <v>4</v>
      </c>
      <c r="E37" s="39">
        <v>36.392299999999999</v>
      </c>
      <c r="F37" s="39" t="s">
        <v>27</v>
      </c>
      <c r="G37" s="39">
        <v>105</v>
      </c>
      <c r="H37" s="39">
        <v>56.991700000000002</v>
      </c>
      <c r="I37" s="39" t="s">
        <v>1</v>
      </c>
      <c r="J37" s="39">
        <f>Assumptions!$D$18</f>
        <v>3700</v>
      </c>
      <c r="K37" s="40">
        <f t="shared" si="10"/>
        <v>-4.606538333333333</v>
      </c>
      <c r="L37" s="40">
        <f t="shared" si="11"/>
        <v>-105.94986166666666</v>
      </c>
      <c r="M37" s="41">
        <f t="shared" si="12"/>
        <v>1.6511955878308953</v>
      </c>
      <c r="N37" s="41">
        <f t="shared" si="13"/>
        <v>-1.8491739281158601</v>
      </c>
      <c r="O37" s="42">
        <f t="shared" si="14"/>
        <v>0</v>
      </c>
      <c r="P37" s="42">
        <f t="shared" si="15"/>
        <v>0</v>
      </c>
      <c r="Q37" s="43">
        <f>Assumptions!$D$3</f>
        <v>11</v>
      </c>
      <c r="R37" s="43">
        <f t="shared" si="16"/>
        <v>0</v>
      </c>
      <c r="S37" s="43">
        <f>Assumptions!$D$6</f>
        <v>0.5</v>
      </c>
      <c r="T37" s="43">
        <f>ROUND(J37/Assumptions!$D$13/60,1) + ROUND(J37/Assumptions!$D$15/60,1) + Assumptions!$D$16</f>
        <v>3.3</v>
      </c>
      <c r="U37" s="43">
        <v>0</v>
      </c>
      <c r="V37" s="44">
        <f t="shared" si="17"/>
        <v>3.8</v>
      </c>
      <c r="W37" s="45">
        <f t="shared" si="18"/>
        <v>43799.364583333307</v>
      </c>
      <c r="X37" s="46">
        <f t="shared" si="19"/>
        <v>43799.364583333307</v>
      </c>
      <c r="Y37" s="43">
        <f t="shared" si="20"/>
        <v>334.74999999941792</v>
      </c>
      <c r="Z37" s="43">
        <f t="shared" si="21"/>
        <v>13.947916666642413</v>
      </c>
    </row>
    <row r="38" spans="1:26" x14ac:dyDescent="0.2">
      <c r="A38" s="39" t="s">
        <v>67</v>
      </c>
      <c r="B38" s="39" t="s">
        <v>98</v>
      </c>
      <c r="C38" s="39" t="s">
        <v>84</v>
      </c>
      <c r="D38" s="39">
        <v>4</v>
      </c>
      <c r="E38" s="39">
        <v>36.392299999999999</v>
      </c>
      <c r="F38" s="39" t="s">
        <v>27</v>
      </c>
      <c r="G38" s="39">
        <v>105</v>
      </c>
      <c r="H38" s="39">
        <v>56.991700000000002</v>
      </c>
      <c r="I38" s="39" t="s">
        <v>1</v>
      </c>
      <c r="J38" s="39">
        <f>Assumptions!$D$18</f>
        <v>3700</v>
      </c>
      <c r="K38" s="40">
        <f t="shared" si="10"/>
        <v>-4.606538333333333</v>
      </c>
      <c r="L38" s="40">
        <f t="shared" si="11"/>
        <v>-105.94986166666666</v>
      </c>
      <c r="M38" s="41">
        <f t="shared" si="12"/>
        <v>1.6511955878308953</v>
      </c>
      <c r="N38" s="41">
        <f t="shared" si="13"/>
        <v>-1.8491739281158601</v>
      </c>
      <c r="O38" s="42">
        <f t="shared" si="14"/>
        <v>0</v>
      </c>
      <c r="P38" s="42">
        <f t="shared" si="15"/>
        <v>0</v>
      </c>
      <c r="Q38" s="43">
        <f>Assumptions!$D$3</f>
        <v>11</v>
      </c>
      <c r="R38" s="43">
        <f t="shared" si="16"/>
        <v>0</v>
      </c>
      <c r="S38" s="43">
        <f>Assumptions!$D$6</f>
        <v>0.5</v>
      </c>
      <c r="T38" s="43">
        <f>ROUND(J38/Assumptions!$D$13/60,1) + ROUND(J38/Assumptions!$D$15/60,1) + Assumptions!$D$16</f>
        <v>3.3</v>
      </c>
      <c r="U38" s="43">
        <v>0</v>
      </c>
      <c r="V38" s="44">
        <f t="shared" si="17"/>
        <v>3.8</v>
      </c>
      <c r="W38" s="45">
        <f t="shared" si="18"/>
        <v>43799.52291666664</v>
      </c>
      <c r="X38" s="46">
        <f t="shared" si="19"/>
        <v>43799.52291666664</v>
      </c>
      <c r="Y38" s="43">
        <f t="shared" si="20"/>
        <v>338.54999999940628</v>
      </c>
      <c r="Z38" s="43">
        <f t="shared" si="21"/>
        <v>14.106249999975262</v>
      </c>
    </row>
    <row r="39" spans="1:26" x14ac:dyDescent="0.2">
      <c r="A39" s="39" t="s">
        <v>68</v>
      </c>
      <c r="B39" s="39" t="s">
        <v>98</v>
      </c>
      <c r="C39" s="39" t="s">
        <v>84</v>
      </c>
      <c r="D39" s="39">
        <v>4</v>
      </c>
      <c r="E39" s="39">
        <v>36.392299999999999</v>
      </c>
      <c r="F39" s="39" t="s">
        <v>27</v>
      </c>
      <c r="G39" s="39">
        <v>105</v>
      </c>
      <c r="H39" s="39">
        <v>56.991700000000002</v>
      </c>
      <c r="I39" s="39" t="s">
        <v>1</v>
      </c>
      <c r="J39" s="39">
        <f>Assumptions!$D$18</f>
        <v>3700</v>
      </c>
      <c r="K39" s="40">
        <f t="shared" si="10"/>
        <v>-4.606538333333333</v>
      </c>
      <c r="L39" s="40">
        <f t="shared" si="11"/>
        <v>-105.94986166666666</v>
      </c>
      <c r="M39" s="41">
        <f t="shared" si="12"/>
        <v>1.6511955878308953</v>
      </c>
      <c r="N39" s="41">
        <f t="shared" si="13"/>
        <v>-1.8491739281158601</v>
      </c>
      <c r="O39" s="42">
        <f t="shared" si="14"/>
        <v>0</v>
      </c>
      <c r="P39" s="42">
        <f t="shared" si="15"/>
        <v>0</v>
      </c>
      <c r="Q39" s="43">
        <f>Assumptions!$D$3</f>
        <v>11</v>
      </c>
      <c r="R39" s="43">
        <f t="shared" si="16"/>
        <v>0</v>
      </c>
      <c r="S39" s="43">
        <f>Assumptions!$D$6</f>
        <v>0.5</v>
      </c>
      <c r="T39" s="43">
        <f>ROUND(J39/Assumptions!$D$13/60,1) + ROUND(J39/Assumptions!$D$15/60,1) + Assumptions!$D$16</f>
        <v>3.3</v>
      </c>
      <c r="U39" s="43">
        <v>0</v>
      </c>
      <c r="V39" s="44">
        <f t="shared" si="17"/>
        <v>3.8</v>
      </c>
      <c r="W39" s="45">
        <f t="shared" si="18"/>
        <v>43799.681249999972</v>
      </c>
      <c r="X39" s="46">
        <f t="shared" si="19"/>
        <v>43799.681249999972</v>
      </c>
      <c r="Y39" s="43">
        <f t="shared" si="20"/>
        <v>342.34999999939464</v>
      </c>
      <c r="Z39" s="43">
        <f t="shared" si="21"/>
        <v>14.26458333330811</v>
      </c>
    </row>
    <row r="40" spans="1:26" x14ac:dyDescent="0.2">
      <c r="A40" s="39" t="s">
        <v>69</v>
      </c>
      <c r="B40" s="39" t="s">
        <v>98</v>
      </c>
      <c r="C40" s="39" t="s">
        <v>84</v>
      </c>
      <c r="D40" s="39">
        <v>4</v>
      </c>
      <c r="E40" s="39">
        <v>36.392299999999999</v>
      </c>
      <c r="F40" s="39" t="s">
        <v>27</v>
      </c>
      <c r="G40" s="39">
        <v>105</v>
      </c>
      <c r="H40" s="39">
        <v>56.991700000000002</v>
      </c>
      <c r="I40" s="39" t="s">
        <v>1</v>
      </c>
      <c r="J40" s="39">
        <f>Assumptions!$D$18</f>
        <v>3700</v>
      </c>
      <c r="K40" s="40">
        <f t="shared" si="10"/>
        <v>-4.606538333333333</v>
      </c>
      <c r="L40" s="40">
        <f t="shared" si="11"/>
        <v>-105.94986166666666</v>
      </c>
      <c r="M40" s="41">
        <f t="shared" si="12"/>
        <v>1.6511955878308953</v>
      </c>
      <c r="N40" s="41">
        <f t="shared" si="13"/>
        <v>-1.8491739281158601</v>
      </c>
      <c r="O40" s="42">
        <f t="shared" si="14"/>
        <v>3</v>
      </c>
      <c r="P40" s="42">
        <f t="shared" si="15"/>
        <v>2</v>
      </c>
      <c r="Q40" s="43">
        <f>Assumptions!$D$3</f>
        <v>11</v>
      </c>
      <c r="R40" s="43">
        <f t="shared" si="16"/>
        <v>0.2</v>
      </c>
      <c r="S40" s="43">
        <f>Assumptions!$D$6</f>
        <v>0.5</v>
      </c>
      <c r="T40" s="43">
        <f>ROUND(J40/Assumptions!$D$13/60,1) + ROUND(J40/Assumptions!$D$15/60,1) + Assumptions!$D$16</f>
        <v>3.3</v>
      </c>
      <c r="U40" s="43">
        <v>0</v>
      </c>
      <c r="V40" s="44">
        <f t="shared" si="17"/>
        <v>3.8</v>
      </c>
      <c r="W40" s="45">
        <f t="shared" si="18"/>
        <v>43799.839583333305</v>
      </c>
      <c r="X40" s="46">
        <f t="shared" si="19"/>
        <v>43799.847916666637</v>
      </c>
      <c r="Y40" s="43">
        <f t="shared" si="20"/>
        <v>346.34999999933643</v>
      </c>
      <c r="Z40" s="43">
        <f t="shared" si="21"/>
        <v>14.431249999972351</v>
      </c>
    </row>
    <row r="41" spans="1:26" x14ac:dyDescent="0.2">
      <c r="A41" s="39" t="s">
        <v>70</v>
      </c>
      <c r="B41" s="39" t="s">
        <v>98</v>
      </c>
      <c r="C41" s="39" t="s">
        <v>84</v>
      </c>
      <c r="D41" s="39">
        <v>4</v>
      </c>
      <c r="E41" s="39">
        <v>35.221299999999999</v>
      </c>
      <c r="F41" s="39" t="s">
        <v>27</v>
      </c>
      <c r="G41" s="39">
        <v>105</v>
      </c>
      <c r="H41" s="39">
        <v>58.195</v>
      </c>
      <c r="I41" s="39" t="s">
        <v>1</v>
      </c>
      <c r="J41" s="39">
        <f>Assumptions!$D$18</f>
        <v>3700</v>
      </c>
      <c r="K41" s="40">
        <f t="shared" si="10"/>
        <v>-4.5870216666666668</v>
      </c>
      <c r="L41" s="40">
        <f t="shared" si="11"/>
        <v>-105.96991666666666</v>
      </c>
      <c r="M41" s="41">
        <f t="shared" si="12"/>
        <v>1.6508549577385478</v>
      </c>
      <c r="N41" s="41">
        <f t="shared" si="13"/>
        <v>-1.8495239538973476</v>
      </c>
      <c r="O41" s="42">
        <f t="shared" si="14"/>
        <v>0</v>
      </c>
      <c r="P41" s="42">
        <f t="shared" si="15"/>
        <v>0</v>
      </c>
      <c r="Q41" s="43">
        <f>Assumptions!$D$3</f>
        <v>11</v>
      </c>
      <c r="R41" s="43">
        <f t="shared" si="16"/>
        <v>0</v>
      </c>
      <c r="S41" s="43">
        <f>Assumptions!$D$6</f>
        <v>0.5</v>
      </c>
      <c r="T41" s="43">
        <f>ROUND(J41/Assumptions!$D$13/60,1) + ROUND(J41/Assumptions!$D$15/60,1) + Assumptions!$D$16</f>
        <v>3.3</v>
      </c>
      <c r="U41" s="43">
        <v>0</v>
      </c>
      <c r="V41" s="44">
        <f t="shared" si="17"/>
        <v>3.8</v>
      </c>
      <c r="W41" s="45">
        <f t="shared" si="18"/>
        <v>43800.006249999969</v>
      </c>
      <c r="X41" s="46">
        <f t="shared" si="19"/>
        <v>43800.006249999969</v>
      </c>
      <c r="Y41" s="43">
        <f t="shared" si="20"/>
        <v>350.14999999932479</v>
      </c>
      <c r="Z41" s="43">
        <f t="shared" si="21"/>
        <v>14.5895833333052</v>
      </c>
    </row>
    <row r="42" spans="1:26" x14ac:dyDescent="0.2">
      <c r="A42" s="39" t="s">
        <v>71</v>
      </c>
      <c r="B42" s="39" t="s">
        <v>98</v>
      </c>
      <c r="C42" s="39" t="s">
        <v>84</v>
      </c>
      <c r="D42" s="39">
        <v>4</v>
      </c>
      <c r="E42" s="39">
        <v>35.221299999999999</v>
      </c>
      <c r="F42" s="39" t="s">
        <v>27</v>
      </c>
      <c r="G42" s="39">
        <v>105</v>
      </c>
      <c r="H42" s="39">
        <v>58.195</v>
      </c>
      <c r="I42" s="39" t="s">
        <v>1</v>
      </c>
      <c r="J42" s="39">
        <f>Assumptions!$D$18</f>
        <v>3700</v>
      </c>
      <c r="K42" s="40">
        <f t="shared" si="10"/>
        <v>-4.5870216666666668</v>
      </c>
      <c r="L42" s="40">
        <f t="shared" si="11"/>
        <v>-105.96991666666666</v>
      </c>
      <c r="M42" s="41">
        <f t="shared" si="12"/>
        <v>1.6508549577385478</v>
      </c>
      <c r="N42" s="41">
        <f t="shared" si="13"/>
        <v>-1.8495239538973476</v>
      </c>
      <c r="O42" s="42">
        <f t="shared" si="14"/>
        <v>0</v>
      </c>
      <c r="P42" s="42">
        <f t="shared" si="15"/>
        <v>0</v>
      </c>
      <c r="Q42" s="43">
        <f>Assumptions!$D$3</f>
        <v>11</v>
      </c>
      <c r="R42" s="43">
        <f t="shared" si="16"/>
        <v>0</v>
      </c>
      <c r="S42" s="43">
        <f>Assumptions!$D$6</f>
        <v>0.5</v>
      </c>
      <c r="T42" s="43">
        <f>ROUND(J42/Assumptions!$D$13/60,1) + ROUND(J42/Assumptions!$D$15/60,1) + Assumptions!$D$16</f>
        <v>3.3</v>
      </c>
      <c r="U42" s="43">
        <v>0</v>
      </c>
      <c r="V42" s="44">
        <f t="shared" si="17"/>
        <v>3.8</v>
      </c>
      <c r="W42" s="45">
        <f t="shared" si="18"/>
        <v>43800.164583333302</v>
      </c>
      <c r="X42" s="46">
        <f t="shared" si="19"/>
        <v>43800.164583333302</v>
      </c>
      <c r="Y42" s="43">
        <f t="shared" si="20"/>
        <v>353.94999999931315</v>
      </c>
      <c r="Z42" s="43">
        <f t="shared" si="21"/>
        <v>14.747916666638048</v>
      </c>
    </row>
    <row r="43" spans="1:26" x14ac:dyDescent="0.2">
      <c r="A43" s="39" t="s">
        <v>72</v>
      </c>
      <c r="B43" s="39" t="s">
        <v>98</v>
      </c>
      <c r="C43" s="39" t="s">
        <v>84</v>
      </c>
      <c r="D43" s="39">
        <v>4</v>
      </c>
      <c r="E43" s="39">
        <v>35.221299999999999</v>
      </c>
      <c r="F43" s="39" t="s">
        <v>27</v>
      </c>
      <c r="G43" s="39">
        <v>105</v>
      </c>
      <c r="H43" s="39">
        <v>58.195</v>
      </c>
      <c r="I43" s="39" t="s">
        <v>1</v>
      </c>
      <c r="J43" s="39">
        <f>Assumptions!$D$18</f>
        <v>3700</v>
      </c>
      <c r="K43" s="40">
        <f t="shared" si="10"/>
        <v>-4.5870216666666668</v>
      </c>
      <c r="L43" s="40">
        <f t="shared" si="11"/>
        <v>-105.96991666666666</v>
      </c>
      <c r="M43" s="41">
        <f t="shared" si="12"/>
        <v>1.6508549577385478</v>
      </c>
      <c r="N43" s="41">
        <f t="shared" si="13"/>
        <v>-1.8495239538973476</v>
      </c>
      <c r="O43" s="42">
        <f t="shared" si="14"/>
        <v>0</v>
      </c>
      <c r="P43" s="42">
        <f t="shared" si="15"/>
        <v>0</v>
      </c>
      <c r="Q43" s="43">
        <f>Assumptions!$D$3</f>
        <v>11</v>
      </c>
      <c r="R43" s="43">
        <f t="shared" si="16"/>
        <v>0</v>
      </c>
      <c r="S43" s="43">
        <f>Assumptions!$D$6</f>
        <v>0.5</v>
      </c>
      <c r="T43" s="43">
        <f>ROUND(J43/Assumptions!$D$13/60,1) + ROUND(J43/Assumptions!$D$15/60,1) + Assumptions!$D$16</f>
        <v>3.3</v>
      </c>
      <c r="U43" s="43">
        <v>0</v>
      </c>
      <c r="V43" s="44">
        <f t="shared" si="17"/>
        <v>3.8</v>
      </c>
      <c r="W43" s="45">
        <f t="shared" si="18"/>
        <v>43800.322916666635</v>
      </c>
      <c r="X43" s="46">
        <f t="shared" si="19"/>
        <v>43800.322916666635</v>
      </c>
      <c r="Y43" s="43">
        <f t="shared" si="20"/>
        <v>357.74999999930151</v>
      </c>
      <c r="Z43" s="43">
        <f t="shared" si="21"/>
        <v>14.906249999970896</v>
      </c>
    </row>
    <row r="44" spans="1:26" x14ac:dyDescent="0.2">
      <c r="A44" s="39" t="s">
        <v>73</v>
      </c>
      <c r="B44" s="39" t="s">
        <v>98</v>
      </c>
      <c r="C44" s="39" t="s">
        <v>84</v>
      </c>
      <c r="D44" s="39">
        <v>4</v>
      </c>
      <c r="E44" s="39">
        <v>35.221299999999999</v>
      </c>
      <c r="F44" s="39" t="s">
        <v>27</v>
      </c>
      <c r="G44" s="39">
        <v>105</v>
      </c>
      <c r="H44" s="39">
        <v>58.195</v>
      </c>
      <c r="I44" s="39" t="s">
        <v>1</v>
      </c>
      <c r="J44" s="39">
        <f>Assumptions!$D$18</f>
        <v>3700</v>
      </c>
      <c r="K44" s="40">
        <f t="shared" si="10"/>
        <v>-4.5870216666666668</v>
      </c>
      <c r="L44" s="40">
        <f t="shared" si="11"/>
        <v>-105.96991666666666</v>
      </c>
      <c r="M44" s="41">
        <f t="shared" si="12"/>
        <v>1.6508549577385478</v>
      </c>
      <c r="N44" s="41">
        <f t="shared" si="13"/>
        <v>-1.8495239538973476</v>
      </c>
      <c r="O44" s="42">
        <f t="shared" si="14"/>
        <v>0</v>
      </c>
      <c r="P44" s="42">
        <f t="shared" si="15"/>
        <v>0</v>
      </c>
      <c r="Q44" s="43">
        <f>Assumptions!$D$3</f>
        <v>11</v>
      </c>
      <c r="R44" s="43">
        <f t="shared" si="16"/>
        <v>0</v>
      </c>
      <c r="S44" s="43">
        <f>Assumptions!$D$6</f>
        <v>0.5</v>
      </c>
      <c r="T44" s="43">
        <f>ROUND(J44/Assumptions!$D$13/60,1) + ROUND(J44/Assumptions!$D$15/60,1) + Assumptions!$D$16</f>
        <v>3.3</v>
      </c>
      <c r="U44" s="43">
        <v>0</v>
      </c>
      <c r="V44" s="44">
        <f t="shared" si="17"/>
        <v>3.8</v>
      </c>
      <c r="W44" s="45">
        <f t="shared" si="18"/>
        <v>43800.481249999968</v>
      </c>
      <c r="X44" s="46">
        <f t="shared" si="19"/>
        <v>43800.481249999968</v>
      </c>
      <c r="Y44" s="43">
        <f t="shared" si="20"/>
        <v>361.54999999928987</v>
      </c>
      <c r="Z44" s="43">
        <f t="shared" si="21"/>
        <v>15.064583333303744</v>
      </c>
    </row>
    <row r="45" spans="1:26" x14ac:dyDescent="0.2">
      <c r="A45" s="39" t="s">
        <v>74</v>
      </c>
      <c r="B45" s="39" t="s">
        <v>98</v>
      </c>
      <c r="C45" s="39" t="s">
        <v>84</v>
      </c>
      <c r="D45" s="39">
        <v>4</v>
      </c>
      <c r="E45" s="39">
        <v>35.221299999999999</v>
      </c>
      <c r="F45" s="39" t="s">
        <v>27</v>
      </c>
      <c r="G45" s="39">
        <v>105</v>
      </c>
      <c r="H45" s="39">
        <v>58.195</v>
      </c>
      <c r="I45" s="39" t="s">
        <v>1</v>
      </c>
      <c r="J45" s="39">
        <f>Assumptions!$D$18</f>
        <v>3700</v>
      </c>
      <c r="K45" s="40">
        <f t="shared" si="10"/>
        <v>-4.5870216666666668</v>
      </c>
      <c r="L45" s="40">
        <f t="shared" si="11"/>
        <v>-105.96991666666666</v>
      </c>
      <c r="M45" s="41">
        <f t="shared" si="12"/>
        <v>1.6508549577385478</v>
      </c>
      <c r="N45" s="41">
        <f t="shared" si="13"/>
        <v>-1.8495239538973476</v>
      </c>
      <c r="O45" s="42">
        <f t="shared" si="14"/>
        <v>0</v>
      </c>
      <c r="P45" s="42">
        <f t="shared" si="15"/>
        <v>0</v>
      </c>
      <c r="Q45" s="43">
        <f>Assumptions!$D$3</f>
        <v>11</v>
      </c>
      <c r="R45" s="43">
        <f t="shared" si="16"/>
        <v>0</v>
      </c>
      <c r="S45" s="43">
        <f>Assumptions!$D$6</f>
        <v>0.5</v>
      </c>
      <c r="T45" s="43">
        <f>ROUND(J45/Assumptions!$D$13/60,1) + ROUND(J45/Assumptions!$D$15/60,1) + Assumptions!$D$16</f>
        <v>3.3</v>
      </c>
      <c r="U45" s="43">
        <v>0</v>
      </c>
      <c r="V45" s="44">
        <f t="shared" si="17"/>
        <v>3.8</v>
      </c>
      <c r="W45" s="45">
        <f t="shared" si="18"/>
        <v>43800.639583333301</v>
      </c>
      <c r="X45" s="46">
        <f t="shared" si="19"/>
        <v>43800.639583333301</v>
      </c>
      <c r="Y45" s="43">
        <f t="shared" si="20"/>
        <v>365.34999999927823</v>
      </c>
      <c r="Z45" s="43">
        <f t="shared" si="21"/>
        <v>15.222916666636593</v>
      </c>
    </row>
    <row r="46" spans="1:26" x14ac:dyDescent="0.2">
      <c r="A46" s="39" t="s">
        <v>75</v>
      </c>
      <c r="B46" s="39" t="s">
        <v>98</v>
      </c>
      <c r="C46" s="39" t="s">
        <v>84</v>
      </c>
      <c r="D46" s="39">
        <v>4</v>
      </c>
      <c r="E46" s="39">
        <v>35.221299999999999</v>
      </c>
      <c r="F46" s="39" t="s">
        <v>27</v>
      </c>
      <c r="G46" s="39">
        <v>105</v>
      </c>
      <c r="H46" s="39">
        <v>58.195</v>
      </c>
      <c r="I46" s="39" t="s">
        <v>1</v>
      </c>
      <c r="J46" s="39">
        <f>Assumptions!$D$18</f>
        <v>3700</v>
      </c>
      <c r="K46" s="40">
        <f t="shared" si="10"/>
        <v>-4.5870216666666668</v>
      </c>
      <c r="L46" s="40">
        <f t="shared" si="11"/>
        <v>-105.96991666666666</v>
      </c>
      <c r="M46" s="41">
        <f t="shared" si="12"/>
        <v>1.6508549577385478</v>
      </c>
      <c r="N46" s="41">
        <f t="shared" si="13"/>
        <v>-1.8495239538973476</v>
      </c>
      <c r="O46" s="42">
        <f t="shared" si="14"/>
        <v>0</v>
      </c>
      <c r="P46" s="42">
        <f t="shared" si="15"/>
        <v>0</v>
      </c>
      <c r="Q46" s="43">
        <f>Assumptions!$D$3</f>
        <v>11</v>
      </c>
      <c r="R46" s="43">
        <f t="shared" si="16"/>
        <v>0</v>
      </c>
      <c r="S46" s="43">
        <f>Assumptions!$D$6</f>
        <v>0.5</v>
      </c>
      <c r="T46" s="43">
        <f>ROUND(J46/Assumptions!$D$13/60,1) + ROUND(J46/Assumptions!$D$15/60,1) + Assumptions!$D$16</f>
        <v>3.3</v>
      </c>
      <c r="U46" s="43">
        <v>0</v>
      </c>
      <c r="V46" s="44">
        <f t="shared" si="17"/>
        <v>3.8</v>
      </c>
      <c r="W46" s="45">
        <f t="shared" si="18"/>
        <v>43800.797916666634</v>
      </c>
      <c r="X46" s="46">
        <f t="shared" si="19"/>
        <v>43800.797916666634</v>
      </c>
      <c r="Y46" s="43">
        <f t="shared" si="20"/>
        <v>369.14999999926658</v>
      </c>
      <c r="Z46" s="43">
        <f t="shared" si="21"/>
        <v>15.381249999969441</v>
      </c>
    </row>
    <row r="47" spans="1:26" x14ac:dyDescent="0.2">
      <c r="A47" s="39" t="s">
        <v>76</v>
      </c>
      <c r="B47" s="39" t="s">
        <v>98</v>
      </c>
      <c r="C47" s="39" t="s">
        <v>84</v>
      </c>
      <c r="D47" s="39">
        <v>4</v>
      </c>
      <c r="E47" s="39">
        <v>35.221299999999999</v>
      </c>
      <c r="F47" s="39" t="s">
        <v>27</v>
      </c>
      <c r="G47" s="39">
        <v>105</v>
      </c>
      <c r="H47" s="39">
        <v>58.195</v>
      </c>
      <c r="I47" s="39" t="s">
        <v>1</v>
      </c>
      <c r="J47" s="39">
        <f>Assumptions!$D$18</f>
        <v>3700</v>
      </c>
      <c r="K47" s="40">
        <f t="shared" si="10"/>
        <v>-4.5870216666666668</v>
      </c>
      <c r="L47" s="40">
        <f t="shared" si="11"/>
        <v>-105.96991666666666</v>
      </c>
      <c r="M47" s="41">
        <f t="shared" si="12"/>
        <v>1.6508549577385478</v>
      </c>
      <c r="N47" s="41">
        <f t="shared" si="13"/>
        <v>-1.8495239538973476</v>
      </c>
      <c r="O47" s="42">
        <f t="shared" si="14"/>
        <v>3</v>
      </c>
      <c r="P47" s="42">
        <f t="shared" si="15"/>
        <v>2</v>
      </c>
      <c r="Q47" s="43">
        <f>Assumptions!$D$3</f>
        <v>11</v>
      </c>
      <c r="R47" s="43">
        <f t="shared" si="16"/>
        <v>0.2</v>
      </c>
      <c r="S47" s="43">
        <f>Assumptions!$D$6</f>
        <v>0.5</v>
      </c>
      <c r="T47" s="43">
        <f>ROUND(J47/Assumptions!$D$13/60,1) + ROUND(J47/Assumptions!$D$15/60,1) + Assumptions!$D$16</f>
        <v>3.3</v>
      </c>
      <c r="U47" s="43">
        <v>0</v>
      </c>
      <c r="V47" s="44">
        <f t="shared" si="17"/>
        <v>3.8</v>
      </c>
      <c r="W47" s="45">
        <f t="shared" si="18"/>
        <v>43800.956249999967</v>
      </c>
      <c r="X47" s="46">
        <f t="shared" si="19"/>
        <v>43800.964583333298</v>
      </c>
      <c r="Y47" s="43">
        <f t="shared" si="20"/>
        <v>373.14999999920838</v>
      </c>
      <c r="Z47" s="43">
        <f t="shared" si="21"/>
        <v>15.547916666633682</v>
      </c>
    </row>
    <row r="48" spans="1:26" x14ac:dyDescent="0.2">
      <c r="A48" s="39" t="s">
        <v>77</v>
      </c>
      <c r="B48" s="39" t="s">
        <v>99</v>
      </c>
      <c r="C48" s="39" t="s">
        <v>84</v>
      </c>
      <c r="D48" s="39">
        <v>4</v>
      </c>
      <c r="E48" s="39">
        <v>34.654699999999998</v>
      </c>
      <c r="F48" s="39" t="s">
        <v>27</v>
      </c>
      <c r="G48" s="39">
        <v>105</v>
      </c>
      <c r="H48" s="39">
        <v>56.6372</v>
      </c>
      <c r="I48" s="39" t="s">
        <v>1</v>
      </c>
      <c r="J48" s="39">
        <f>Assumptions!$D$18</f>
        <v>3700</v>
      </c>
      <c r="K48" s="40">
        <f t="shared" si="10"/>
        <v>-4.5775783333333333</v>
      </c>
      <c r="L48" s="40">
        <f t="shared" si="11"/>
        <v>-105.94395333333334</v>
      </c>
      <c r="M48" s="41">
        <f t="shared" si="12"/>
        <v>1.6506901404795178</v>
      </c>
      <c r="N48" s="41">
        <f t="shared" si="13"/>
        <v>-1.8490708082458884</v>
      </c>
      <c r="O48" s="42">
        <f t="shared" si="14"/>
        <v>0</v>
      </c>
      <c r="P48" s="42">
        <f t="shared" si="15"/>
        <v>0</v>
      </c>
      <c r="Q48" s="43">
        <f>Assumptions!$D$3</f>
        <v>11</v>
      </c>
      <c r="R48" s="43">
        <f t="shared" si="16"/>
        <v>0</v>
      </c>
      <c r="S48" s="43">
        <f>Assumptions!$D$6</f>
        <v>0.5</v>
      </c>
      <c r="T48" s="43">
        <f>ROUND(J48/Assumptions!$D$14/60,1) + ROUND(J48/Assumptions!$D$15/60,1) + Assumptions!$D$16</f>
        <v>2.9</v>
      </c>
      <c r="U48" s="43">
        <v>0</v>
      </c>
      <c r="V48" s="44">
        <f t="shared" si="17"/>
        <v>3.4</v>
      </c>
      <c r="W48" s="45">
        <f t="shared" si="18"/>
        <v>43801.106249999968</v>
      </c>
      <c r="X48" s="46">
        <f t="shared" si="19"/>
        <v>43801.106249999968</v>
      </c>
      <c r="Y48" s="43">
        <f t="shared" si="20"/>
        <v>376.54999999928987</v>
      </c>
      <c r="Z48" s="43">
        <f t="shared" si="21"/>
        <v>15.689583333303744</v>
      </c>
    </row>
    <row r="49" spans="1:26" x14ac:dyDescent="0.2">
      <c r="A49" s="39" t="s">
        <v>78</v>
      </c>
      <c r="B49" s="39" t="s">
        <v>99</v>
      </c>
      <c r="C49" s="39" t="s">
        <v>84</v>
      </c>
      <c r="D49" s="39">
        <v>4</v>
      </c>
      <c r="E49" s="39">
        <v>34.654699999999998</v>
      </c>
      <c r="F49" s="39" t="s">
        <v>27</v>
      </c>
      <c r="G49" s="39">
        <v>105</v>
      </c>
      <c r="H49" s="39">
        <v>56.6372</v>
      </c>
      <c r="I49" s="39" t="s">
        <v>1</v>
      </c>
      <c r="J49" s="39">
        <f>Assumptions!$D$18</f>
        <v>3700</v>
      </c>
      <c r="K49" s="40">
        <f t="shared" si="10"/>
        <v>-4.5775783333333333</v>
      </c>
      <c r="L49" s="40">
        <f t="shared" si="11"/>
        <v>-105.94395333333334</v>
      </c>
      <c r="M49" s="41">
        <f t="shared" si="12"/>
        <v>1.6506901404795178</v>
      </c>
      <c r="N49" s="41">
        <f t="shared" si="13"/>
        <v>-1.8490708082458884</v>
      </c>
      <c r="O49" s="42">
        <f t="shared" si="14"/>
        <v>0</v>
      </c>
      <c r="P49" s="42">
        <f t="shared" si="15"/>
        <v>0</v>
      </c>
      <c r="Q49" s="43">
        <f>Assumptions!$D$3</f>
        <v>11</v>
      </c>
      <c r="R49" s="43">
        <f t="shared" si="16"/>
        <v>0</v>
      </c>
      <c r="S49" s="43">
        <f>Assumptions!$D$6</f>
        <v>0.5</v>
      </c>
      <c r="T49" s="43">
        <f>ROUND(J49/Assumptions!$D$14/60,1) + ROUND(J49/Assumptions!$D$15/60,1) + Assumptions!$D$16</f>
        <v>2.9</v>
      </c>
      <c r="U49" s="43">
        <v>0</v>
      </c>
      <c r="V49" s="44">
        <f t="shared" si="17"/>
        <v>3.4</v>
      </c>
      <c r="W49" s="45">
        <f t="shared" si="18"/>
        <v>43801.247916666638</v>
      </c>
      <c r="X49" s="46">
        <f t="shared" si="19"/>
        <v>43801.247916666638</v>
      </c>
      <c r="Y49" s="43">
        <f t="shared" si="20"/>
        <v>379.94999999937136</v>
      </c>
      <c r="Z49" s="43">
        <f t="shared" si="21"/>
        <v>15.831249999973807</v>
      </c>
    </row>
    <row r="50" spans="1:26" x14ac:dyDescent="0.2">
      <c r="A50" s="39" t="s">
        <v>79</v>
      </c>
      <c r="B50" s="39" t="s">
        <v>99</v>
      </c>
      <c r="C50" s="39" t="s">
        <v>84</v>
      </c>
      <c r="D50" s="39">
        <v>4</v>
      </c>
      <c r="E50" s="39">
        <v>34.654699999999998</v>
      </c>
      <c r="F50" s="39" t="s">
        <v>27</v>
      </c>
      <c r="G50" s="39">
        <v>105</v>
      </c>
      <c r="H50" s="39">
        <v>56.6372</v>
      </c>
      <c r="I50" s="39" t="s">
        <v>1</v>
      </c>
      <c r="J50" s="39">
        <f>Assumptions!$D$18</f>
        <v>3700</v>
      </c>
      <c r="K50" s="40">
        <f t="shared" si="10"/>
        <v>-4.5775783333333333</v>
      </c>
      <c r="L50" s="40">
        <f t="shared" si="11"/>
        <v>-105.94395333333334</v>
      </c>
      <c r="M50" s="41">
        <f t="shared" si="12"/>
        <v>1.6506901404795178</v>
      </c>
      <c r="N50" s="41">
        <f t="shared" si="13"/>
        <v>-1.8490708082458884</v>
      </c>
      <c r="O50" s="42">
        <f t="shared" si="14"/>
        <v>0</v>
      </c>
      <c r="P50" s="42">
        <f t="shared" si="15"/>
        <v>0</v>
      </c>
      <c r="Q50" s="43">
        <f>Assumptions!$D$3</f>
        <v>11</v>
      </c>
      <c r="R50" s="43">
        <f t="shared" si="16"/>
        <v>0</v>
      </c>
      <c r="S50" s="43">
        <f>Assumptions!$D$6</f>
        <v>0.5</v>
      </c>
      <c r="T50" s="43">
        <f>ROUND(J50/Assumptions!$D$14/60,1) + ROUND(J50/Assumptions!$D$15/60,1) + Assumptions!$D$16</f>
        <v>2.9</v>
      </c>
      <c r="U50" s="43">
        <v>0</v>
      </c>
      <c r="V50" s="44">
        <f t="shared" si="17"/>
        <v>3.4</v>
      </c>
      <c r="W50" s="45">
        <f t="shared" si="18"/>
        <v>43801.389583333308</v>
      </c>
      <c r="X50" s="46">
        <f t="shared" si="19"/>
        <v>43801.389583333308</v>
      </c>
      <c r="Y50" s="43">
        <f t="shared" si="20"/>
        <v>383.34999999945285</v>
      </c>
      <c r="Z50" s="43">
        <f t="shared" si="21"/>
        <v>15.972916666643869</v>
      </c>
    </row>
    <row r="51" spans="1:26" x14ac:dyDescent="0.2">
      <c r="A51" s="39" t="s">
        <v>80</v>
      </c>
      <c r="B51" s="39" t="s">
        <v>99</v>
      </c>
      <c r="C51" s="39" t="s">
        <v>84</v>
      </c>
      <c r="D51" s="39">
        <v>4</v>
      </c>
      <c r="E51" s="39">
        <v>34.654699999999998</v>
      </c>
      <c r="F51" s="39" t="s">
        <v>27</v>
      </c>
      <c r="G51" s="39">
        <v>105</v>
      </c>
      <c r="H51" s="39">
        <v>56.6372</v>
      </c>
      <c r="I51" s="39" t="s">
        <v>1</v>
      </c>
      <c r="J51" s="39">
        <f>Assumptions!$D$18</f>
        <v>3700</v>
      </c>
      <c r="K51" s="40">
        <f t="shared" si="10"/>
        <v>-4.5775783333333333</v>
      </c>
      <c r="L51" s="40">
        <f t="shared" si="11"/>
        <v>-105.94395333333334</v>
      </c>
      <c r="M51" s="41">
        <f t="shared" si="12"/>
        <v>1.6506901404795178</v>
      </c>
      <c r="N51" s="41">
        <f t="shared" si="13"/>
        <v>-1.8490708082458884</v>
      </c>
      <c r="O51" s="42">
        <f t="shared" si="14"/>
        <v>0</v>
      </c>
      <c r="P51" s="42">
        <f t="shared" si="15"/>
        <v>0</v>
      </c>
      <c r="Q51" s="43">
        <f>Assumptions!$D$3</f>
        <v>11</v>
      </c>
      <c r="R51" s="43">
        <f t="shared" si="16"/>
        <v>0</v>
      </c>
      <c r="S51" s="43">
        <f>Assumptions!$D$6</f>
        <v>0.5</v>
      </c>
      <c r="T51" s="43">
        <f>ROUND(J51/Assumptions!$D$14/60,1) + ROUND(J51/Assumptions!$D$15/60,1) + Assumptions!$D$16</f>
        <v>2.9</v>
      </c>
      <c r="U51" s="43">
        <v>0</v>
      </c>
      <c r="V51" s="44">
        <f t="shared" si="17"/>
        <v>3.4</v>
      </c>
      <c r="W51" s="45">
        <f t="shared" si="18"/>
        <v>43801.531249999978</v>
      </c>
      <c r="X51" s="46">
        <f t="shared" si="19"/>
        <v>43801.531249999978</v>
      </c>
      <c r="Y51" s="43">
        <f t="shared" si="20"/>
        <v>386.74999999953434</v>
      </c>
      <c r="Z51" s="43">
        <f t="shared" si="21"/>
        <v>16.114583333313931</v>
      </c>
    </row>
    <row r="52" spans="1:26" x14ac:dyDescent="0.2">
      <c r="A52" s="39" t="s">
        <v>81</v>
      </c>
      <c r="B52" s="39" t="s">
        <v>99</v>
      </c>
      <c r="C52" s="39" t="s">
        <v>84</v>
      </c>
      <c r="D52" s="39">
        <v>4</v>
      </c>
      <c r="E52" s="39">
        <v>34.654699999999998</v>
      </c>
      <c r="F52" s="39" t="s">
        <v>27</v>
      </c>
      <c r="G52" s="39">
        <v>105</v>
      </c>
      <c r="H52" s="39">
        <v>56.6372</v>
      </c>
      <c r="I52" s="39" t="s">
        <v>1</v>
      </c>
      <c r="J52" s="39">
        <f>Assumptions!$D$18</f>
        <v>3700</v>
      </c>
      <c r="K52" s="40">
        <f t="shared" si="10"/>
        <v>-4.5775783333333333</v>
      </c>
      <c r="L52" s="40">
        <f t="shared" si="11"/>
        <v>-105.94395333333334</v>
      </c>
      <c r="M52" s="41">
        <f t="shared" si="12"/>
        <v>1.6506901404795178</v>
      </c>
      <c r="N52" s="41">
        <f t="shared" si="13"/>
        <v>-1.8490708082458884</v>
      </c>
      <c r="O52" s="42">
        <f t="shared" si="14"/>
        <v>0</v>
      </c>
      <c r="P52" s="42">
        <f t="shared" si="15"/>
        <v>0</v>
      </c>
      <c r="Q52" s="43">
        <f>Assumptions!$D$3</f>
        <v>11</v>
      </c>
      <c r="R52" s="43">
        <f t="shared" si="16"/>
        <v>0</v>
      </c>
      <c r="S52" s="43">
        <f>Assumptions!$D$6</f>
        <v>0.5</v>
      </c>
      <c r="T52" s="43">
        <f>ROUND(J52/Assumptions!$D$14/60,1) + ROUND(J52/Assumptions!$D$15/60,1) + Assumptions!$D$16</f>
        <v>2.9</v>
      </c>
      <c r="U52" s="43">
        <v>0</v>
      </c>
      <c r="V52" s="44">
        <f t="shared" si="17"/>
        <v>3.4</v>
      </c>
      <c r="W52" s="45">
        <f t="shared" si="18"/>
        <v>43801.672916666648</v>
      </c>
      <c r="X52" s="46">
        <f t="shared" si="19"/>
        <v>43801.672916666648</v>
      </c>
      <c r="Y52" s="43">
        <f t="shared" si="20"/>
        <v>390.14999999961583</v>
      </c>
      <c r="Z52" s="43">
        <f t="shared" si="21"/>
        <v>16.256249999983993</v>
      </c>
    </row>
    <row r="53" spans="1:26" x14ac:dyDescent="0.2">
      <c r="A53" s="39" t="s">
        <v>82</v>
      </c>
      <c r="B53" s="39" t="s">
        <v>99</v>
      </c>
      <c r="C53" s="39" t="s">
        <v>84</v>
      </c>
      <c r="D53" s="39">
        <v>4</v>
      </c>
      <c r="E53" s="39">
        <v>34.654699999999998</v>
      </c>
      <c r="F53" s="39" t="s">
        <v>27</v>
      </c>
      <c r="G53" s="39">
        <v>105</v>
      </c>
      <c r="H53" s="39">
        <v>56.6372</v>
      </c>
      <c r="I53" s="39" t="s">
        <v>1</v>
      </c>
      <c r="J53" s="39">
        <f>Assumptions!$D$18</f>
        <v>3700</v>
      </c>
      <c r="K53" s="40">
        <f t="shared" si="10"/>
        <v>-4.5775783333333333</v>
      </c>
      <c r="L53" s="40">
        <f t="shared" si="11"/>
        <v>-105.94395333333334</v>
      </c>
      <c r="M53" s="41">
        <f t="shared" si="12"/>
        <v>1.6506901404795178</v>
      </c>
      <c r="N53" s="41">
        <f t="shared" si="13"/>
        <v>-1.8490708082458884</v>
      </c>
      <c r="O53" s="42">
        <f t="shared" si="14"/>
        <v>0</v>
      </c>
      <c r="P53" s="42">
        <f t="shared" si="15"/>
        <v>0</v>
      </c>
      <c r="Q53" s="43">
        <f>Assumptions!$D$3</f>
        <v>11</v>
      </c>
      <c r="R53" s="43">
        <f t="shared" si="16"/>
        <v>0</v>
      </c>
      <c r="S53" s="43">
        <f>Assumptions!$D$6</f>
        <v>0.5</v>
      </c>
      <c r="T53" s="43">
        <f>ROUND(J53/Assumptions!$D$14/60,1) + ROUND(J53/Assumptions!$D$15/60,1) + Assumptions!$D$16</f>
        <v>2.9</v>
      </c>
      <c r="U53" s="43">
        <v>0</v>
      </c>
      <c r="V53" s="44">
        <f t="shared" si="17"/>
        <v>3.4</v>
      </c>
      <c r="W53" s="45">
        <f t="shared" si="18"/>
        <v>43801.814583333318</v>
      </c>
      <c r="X53" s="46">
        <f t="shared" si="19"/>
        <v>43801.814583333318</v>
      </c>
      <c r="Y53" s="43">
        <f t="shared" si="20"/>
        <v>393.54999999969732</v>
      </c>
      <c r="Z53" s="43">
        <f t="shared" si="21"/>
        <v>16.397916666654055</v>
      </c>
    </row>
    <row r="54" spans="1:26" x14ac:dyDescent="0.2">
      <c r="A54" s="39" t="s">
        <v>83</v>
      </c>
      <c r="B54" s="39" t="s">
        <v>99</v>
      </c>
      <c r="C54" s="39" t="s">
        <v>84</v>
      </c>
      <c r="D54" s="39">
        <v>4</v>
      </c>
      <c r="E54" s="39">
        <v>34.654699999999998</v>
      </c>
      <c r="F54" s="39" t="s">
        <v>27</v>
      </c>
      <c r="G54" s="39">
        <v>105</v>
      </c>
      <c r="H54" s="39">
        <v>56.6372</v>
      </c>
      <c r="I54" s="39" t="s">
        <v>1</v>
      </c>
      <c r="J54" s="39">
        <f>Assumptions!$D$18</f>
        <v>3700</v>
      </c>
      <c r="K54" s="40">
        <f t="shared" si="10"/>
        <v>-4.5775783333333333</v>
      </c>
      <c r="L54" s="40">
        <f t="shared" si="11"/>
        <v>-105.94395333333334</v>
      </c>
      <c r="M54" s="41">
        <f t="shared" si="12"/>
        <v>1.6506901404795178</v>
      </c>
      <c r="N54" s="41">
        <f t="shared" si="13"/>
        <v>-1.8490708082458884</v>
      </c>
      <c r="O54" s="42">
        <f t="shared" ref="O54:O57" si="22" xml:space="preserve"> ROUND(ACOS( COS(M54)*COS(M55) + SIN(M54)*SIN(M55)*COS(N54-N55) ) * 6371,0)</f>
        <v>2630</v>
      </c>
      <c r="P54" s="42">
        <f t="shared" si="15"/>
        <v>1420</v>
      </c>
      <c r="Q54" s="43">
        <f>Assumptions!$D$3</f>
        <v>11</v>
      </c>
      <c r="R54" s="43">
        <f t="shared" ref="R54:R57" si="23">ROUND(P54/Q54,1)</f>
        <v>129.1</v>
      </c>
      <c r="S54" s="43">
        <f>Assumptions!$D$6</f>
        <v>0.5</v>
      </c>
      <c r="T54" s="43">
        <f>ROUND(J54/Assumptions!$D$14/60,1) + ROUND(J54/Assumptions!$D$15/60,1) + Assumptions!$D$16</f>
        <v>2.9</v>
      </c>
      <c r="U54" s="43">
        <v>0</v>
      </c>
      <c r="V54" s="44">
        <f t="shared" si="17"/>
        <v>3.4</v>
      </c>
      <c r="W54" s="45">
        <f t="shared" si="18"/>
        <v>43801.956249999988</v>
      </c>
      <c r="X54" s="46">
        <f t="shared" si="19"/>
        <v>43807.335416666654</v>
      </c>
      <c r="Y54" s="43">
        <f t="shared" si="20"/>
        <v>526.04999999975553</v>
      </c>
      <c r="Z54" s="43">
        <f t="shared" si="21"/>
        <v>21.918749999989814</v>
      </c>
    </row>
    <row r="55" spans="1:26" x14ac:dyDescent="0.2">
      <c r="A55" s="29" t="s">
        <v>29</v>
      </c>
      <c r="B55" s="29"/>
      <c r="C55" s="29"/>
      <c r="D55" s="29">
        <v>19</v>
      </c>
      <c r="E55" s="29">
        <v>1.5569999999999999</v>
      </c>
      <c r="F55" s="29" t="s">
        <v>0</v>
      </c>
      <c r="G55" s="29">
        <v>104</v>
      </c>
      <c r="H55" s="29">
        <v>21.094000000000001</v>
      </c>
      <c r="I55" s="29" t="s">
        <v>1</v>
      </c>
      <c r="J55" s="29"/>
      <c r="K55" s="22">
        <f t="shared" si="10"/>
        <v>19.025950000000002</v>
      </c>
      <c r="L55" s="22">
        <f t="shared" si="11"/>
        <v>-104.35156666666667</v>
      </c>
      <c r="M55" s="23">
        <f t="shared" ref="M55:M57" si="24">RADIANS(90 - K55)</f>
        <v>1.2387308559750816</v>
      </c>
      <c r="N55" s="23">
        <f t="shared" ref="N55:N57" si="25">RADIANS(L55)</f>
        <v>-1.8212784179476975</v>
      </c>
      <c r="O55" s="24">
        <f t="shared" si="22"/>
        <v>6</v>
      </c>
      <c r="P55" s="24">
        <f t="shared" si="15"/>
        <v>3</v>
      </c>
      <c r="Q55" s="26">
        <f>Assumptions!$D$3</f>
        <v>11</v>
      </c>
      <c r="R55" s="26">
        <f t="shared" si="23"/>
        <v>0.3</v>
      </c>
      <c r="S55" s="26">
        <v>1</v>
      </c>
      <c r="T55" s="26">
        <f t="shared" ref="T55:T57" si="26">ROUND(J55/39/60,1)</f>
        <v>0</v>
      </c>
      <c r="U55" s="26">
        <v>0</v>
      </c>
      <c r="V55" s="30">
        <f t="shared" ref="V55:V57" si="27">SUM(S55,T55,U55)</f>
        <v>1</v>
      </c>
      <c r="W55" s="31">
        <f t="shared" si="18"/>
        <v>43807.377083333318</v>
      </c>
      <c r="X55" s="32">
        <f t="shared" ref="X55:X57" si="28">W55  + R55/24</f>
        <v>43807.389583333315</v>
      </c>
      <c r="Y55" s="26">
        <f t="shared" ref="Y55:Y57" si="29">(X55-W55)*24 + (W55-X54)*24 + Y54</f>
        <v>527.34999999962747</v>
      </c>
      <c r="Z55" s="26">
        <f t="shared" si="21"/>
        <v>21.972916666651145</v>
      </c>
    </row>
    <row r="56" spans="1:26" x14ac:dyDescent="0.2">
      <c r="A56" s="29" t="s">
        <v>31</v>
      </c>
      <c r="B56" s="29"/>
      <c r="C56" s="29"/>
      <c r="D56" s="29">
        <v>19</v>
      </c>
      <c r="E56" s="29">
        <v>4.0620000000000003</v>
      </c>
      <c r="F56" s="29" t="s">
        <v>0</v>
      </c>
      <c r="G56" s="29">
        <v>104</v>
      </c>
      <c r="H56" s="29">
        <v>19.024000000000001</v>
      </c>
      <c r="I56" s="29" t="s">
        <v>1</v>
      </c>
      <c r="J56" s="29"/>
      <c r="K56" s="22">
        <f t="shared" si="10"/>
        <v>19.067699999999999</v>
      </c>
      <c r="L56" s="22">
        <f t="shared" si="11"/>
        <v>-104.31706666666666</v>
      </c>
      <c r="M56" s="23">
        <f t="shared" si="24"/>
        <v>1.2380021810123738</v>
      </c>
      <c r="N56" s="23">
        <f t="shared" si="25"/>
        <v>-1.8206762793557594</v>
      </c>
      <c r="O56" s="24">
        <f t="shared" si="22"/>
        <v>1</v>
      </c>
      <c r="P56" s="24">
        <f t="shared" si="15"/>
        <v>1</v>
      </c>
      <c r="Q56" s="26">
        <f>Assumptions!$D$3</f>
        <v>11</v>
      </c>
      <c r="R56" s="26">
        <f t="shared" si="23"/>
        <v>0.1</v>
      </c>
      <c r="S56" s="26">
        <v>1</v>
      </c>
      <c r="T56" s="26">
        <f t="shared" si="26"/>
        <v>0</v>
      </c>
      <c r="U56" s="26">
        <v>0</v>
      </c>
      <c r="V56" s="30">
        <f t="shared" si="27"/>
        <v>1</v>
      </c>
      <c r="W56" s="31">
        <f t="shared" si="18"/>
        <v>43807.43124999998</v>
      </c>
      <c r="X56" s="32">
        <f t="shared" si="28"/>
        <v>43807.435416666645</v>
      </c>
      <c r="Y56" s="26">
        <f t="shared" si="29"/>
        <v>528.44999999954598</v>
      </c>
      <c r="Z56" s="26">
        <f t="shared" si="21"/>
        <v>22.018749999981083</v>
      </c>
    </row>
    <row r="57" spans="1:26" x14ac:dyDescent="0.2">
      <c r="A57" s="29" t="s">
        <v>30</v>
      </c>
      <c r="B57" s="29"/>
      <c r="C57" s="29"/>
      <c r="D57" s="29">
        <v>19</v>
      </c>
      <c r="E57" s="29">
        <v>3.5960000000000001</v>
      </c>
      <c r="F57" s="29" t="s">
        <v>0</v>
      </c>
      <c r="G57" s="29">
        <v>104</v>
      </c>
      <c r="H57" s="29">
        <v>18.373000000000001</v>
      </c>
      <c r="I57" s="29" t="s">
        <v>1</v>
      </c>
      <c r="J57" s="29"/>
      <c r="K57" s="22">
        <f t="shared" si="10"/>
        <v>19.059933333333333</v>
      </c>
      <c r="L57" s="22">
        <f t="shared" si="11"/>
        <v>-104.30621666666667</v>
      </c>
      <c r="M57" s="23">
        <f t="shared" si="24"/>
        <v>1.2381377349176121</v>
      </c>
      <c r="N57" s="23">
        <f t="shared" si="25"/>
        <v>-1.8204869111319182</v>
      </c>
      <c r="O57" s="24">
        <f t="shared" si="22"/>
        <v>2</v>
      </c>
      <c r="P57" s="24">
        <f t="shared" si="15"/>
        <v>1</v>
      </c>
      <c r="Q57" s="26">
        <f>Assumptions!$D$3</f>
        <v>11</v>
      </c>
      <c r="R57" s="26">
        <f t="shared" si="23"/>
        <v>0.1</v>
      </c>
      <c r="S57" s="26">
        <v>1</v>
      </c>
      <c r="T57" s="26">
        <f t="shared" si="26"/>
        <v>0</v>
      </c>
      <c r="U57" s="26">
        <v>0</v>
      </c>
      <c r="V57" s="30">
        <f t="shared" si="27"/>
        <v>1</v>
      </c>
      <c r="W57" s="31">
        <f t="shared" si="18"/>
        <v>43807.47708333331</v>
      </c>
      <c r="X57" s="32">
        <f t="shared" si="28"/>
        <v>43807.481249999975</v>
      </c>
      <c r="Y57" s="26">
        <f t="shared" si="29"/>
        <v>529.54999999946449</v>
      </c>
      <c r="Z57" s="26">
        <f t="shared" si="21"/>
        <v>22.06458333331102</v>
      </c>
    </row>
    <row r="58" spans="1:26" x14ac:dyDescent="0.2">
      <c r="A58" s="29" t="s">
        <v>91</v>
      </c>
      <c r="B58" s="29"/>
      <c r="C58" s="29"/>
      <c r="D58" s="29">
        <v>19</v>
      </c>
      <c r="E58" s="29">
        <v>3.8410000000000002</v>
      </c>
      <c r="F58" s="29" t="s">
        <v>0</v>
      </c>
      <c r="G58" s="29">
        <v>104</v>
      </c>
      <c r="H58" s="29">
        <v>17.488</v>
      </c>
      <c r="I58" s="29" t="s">
        <v>1</v>
      </c>
      <c r="J58" s="29"/>
      <c r="K58" s="22">
        <f t="shared" si="10"/>
        <v>19.064016666666667</v>
      </c>
      <c r="L58" s="22">
        <f t="shared" si="11"/>
        <v>-104.29146666666666</v>
      </c>
      <c r="M58" s="23">
        <f t="shared" ref="M58" si="30">RADIANS(90 - K58)</f>
        <v>1.2380664673064887</v>
      </c>
      <c r="N58" s="23">
        <f t="shared" ref="N58" si="31">RADIANS(L58)</f>
        <v>-1.8202294750672487</v>
      </c>
      <c r="O58" s="24"/>
      <c r="P58" s="24"/>
      <c r="Q58" s="25"/>
      <c r="R58" s="26"/>
      <c r="S58" s="26"/>
      <c r="T58" s="26"/>
      <c r="U58" s="26"/>
      <c r="V58" s="30"/>
      <c r="W58" s="27"/>
      <c r="X58" s="28"/>
      <c r="Y58" s="26"/>
      <c r="Z58" s="26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2"/>
      <c r="M59" s="13"/>
      <c r="N59" s="13"/>
      <c r="O59" s="8"/>
      <c r="P59" s="8"/>
      <c r="Q59" s="9"/>
      <c r="R59" s="11"/>
      <c r="S59" s="11"/>
      <c r="T59" s="11"/>
      <c r="U59" s="11"/>
      <c r="V59" s="18"/>
      <c r="W59" s="12"/>
      <c r="X59" s="10"/>
      <c r="Y59" s="11"/>
      <c r="Z59" s="1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2"/>
      <c r="M60" s="13"/>
      <c r="N60" s="13"/>
      <c r="O60" s="8"/>
      <c r="P60" s="8"/>
      <c r="Q60" s="9"/>
      <c r="R60" s="11"/>
      <c r="S60" s="11"/>
      <c r="T60" s="11"/>
      <c r="U60" s="11"/>
      <c r="V60" s="18"/>
      <c r="W60" s="12"/>
      <c r="X60" s="10"/>
      <c r="Y60" s="11"/>
      <c r="Z60" s="1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2"/>
      <c r="M61" s="13"/>
      <c r="N61" s="13"/>
      <c r="O61" s="8"/>
      <c r="P61" s="8"/>
      <c r="Q61" s="9"/>
      <c r="R61" s="11"/>
      <c r="S61" s="11"/>
      <c r="T61" s="11"/>
      <c r="U61" s="11"/>
      <c r="V61" s="18"/>
      <c r="W61" s="12"/>
      <c r="X61" s="10"/>
      <c r="Y61" s="11"/>
      <c r="Z61" s="1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2"/>
      <c r="M62" s="13"/>
      <c r="N62" s="13"/>
      <c r="O62" s="8"/>
      <c r="P62" s="8"/>
      <c r="Q62" s="9"/>
      <c r="R62" s="11"/>
      <c r="S62" s="11"/>
      <c r="T62" s="11"/>
      <c r="U62" s="11"/>
      <c r="V62" s="18"/>
      <c r="W62" s="12"/>
      <c r="X62" s="10"/>
      <c r="Y62" s="11"/>
      <c r="Z62" s="1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2"/>
      <c r="M63" s="13"/>
      <c r="N63" s="13"/>
      <c r="O63" s="8"/>
      <c r="P63" s="8"/>
      <c r="Q63" s="9"/>
      <c r="R63" s="11"/>
      <c r="S63" s="11"/>
      <c r="T63" s="11"/>
      <c r="U63" s="11"/>
      <c r="V63" s="18"/>
      <c r="W63" s="12"/>
      <c r="X63" s="10"/>
      <c r="Y63" s="11"/>
      <c r="Z63" s="1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2"/>
      <c r="M64" s="13"/>
      <c r="N64" s="13"/>
      <c r="O64" s="8"/>
      <c r="P64" s="8"/>
      <c r="Q64" s="9"/>
      <c r="R64" s="11"/>
      <c r="S64" s="11"/>
      <c r="T64" s="11"/>
      <c r="U64" s="11"/>
      <c r="V64" s="18"/>
      <c r="W64" s="12"/>
      <c r="X64" s="10"/>
      <c r="Y64" s="11"/>
      <c r="Z64" s="1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2"/>
      <c r="M65" s="13"/>
      <c r="N65" s="13"/>
      <c r="O65" s="8"/>
      <c r="P65" s="8"/>
      <c r="Q65" s="9"/>
      <c r="R65" s="11"/>
      <c r="S65" s="11"/>
      <c r="T65" s="11"/>
      <c r="U65" s="11"/>
      <c r="V65" s="18"/>
      <c r="W65" s="12"/>
      <c r="X65" s="10"/>
      <c r="Y65" s="11"/>
      <c r="Z65" s="1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2"/>
      <c r="M66" s="13"/>
      <c r="N66" s="13"/>
      <c r="O66" s="8"/>
      <c r="P66" s="8"/>
      <c r="Q66" s="9"/>
      <c r="R66" s="11"/>
      <c r="S66" s="11"/>
      <c r="T66" s="11"/>
      <c r="U66" s="11"/>
      <c r="V66" s="18"/>
      <c r="W66" s="12"/>
      <c r="X66" s="10"/>
      <c r="Y66" s="11"/>
      <c r="Z66" s="1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2"/>
      <c r="M67" s="13"/>
      <c r="N67" s="13"/>
      <c r="O67" s="8"/>
      <c r="P67" s="8"/>
      <c r="Q67" s="9"/>
      <c r="R67" s="11"/>
      <c r="S67" s="11"/>
      <c r="T67" s="11"/>
      <c r="U67" s="11"/>
      <c r="V67" s="18"/>
      <c r="W67" s="12"/>
      <c r="X67" s="10"/>
      <c r="Y67" s="11"/>
      <c r="Z67" s="1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2"/>
      <c r="M68" s="13"/>
      <c r="N68" s="13"/>
      <c r="O68" s="8"/>
      <c r="P68" s="8"/>
      <c r="Q68" s="9"/>
      <c r="R68" s="11"/>
      <c r="S68" s="11"/>
      <c r="T68" s="11"/>
      <c r="U68" s="11"/>
      <c r="V68" s="18"/>
      <c r="W68" s="12"/>
      <c r="X68" s="10"/>
      <c r="Y68" s="11"/>
      <c r="Z68" s="1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2"/>
      <c r="M69" s="13"/>
      <c r="N69" s="13"/>
      <c r="O69" s="8"/>
      <c r="P69" s="8"/>
      <c r="Q69" s="9"/>
      <c r="R69" s="11"/>
      <c r="S69" s="11"/>
      <c r="T69" s="11"/>
      <c r="U69" s="11"/>
      <c r="V69" s="18"/>
      <c r="W69" s="12"/>
      <c r="X69" s="10"/>
      <c r="Y69" s="11"/>
      <c r="Z69" s="1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2"/>
      <c r="M70" s="13"/>
      <c r="N70" s="13"/>
      <c r="O70" s="8"/>
      <c r="P70" s="8"/>
      <c r="Q70" s="9"/>
      <c r="R70" s="11"/>
      <c r="S70" s="11"/>
      <c r="T70" s="11"/>
      <c r="U70" s="11"/>
      <c r="V70" s="18"/>
      <c r="W70" s="12"/>
      <c r="X70" s="10"/>
      <c r="Y70" s="11"/>
      <c r="Z70" s="1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2"/>
      <c r="M71" s="13"/>
      <c r="N71" s="13"/>
      <c r="O71" s="8"/>
      <c r="P71" s="8"/>
      <c r="Q71" s="9"/>
      <c r="R71" s="11"/>
      <c r="S71" s="11"/>
      <c r="T71" s="11"/>
      <c r="U71" s="11"/>
      <c r="V71" s="18"/>
      <c r="W71" s="12"/>
      <c r="X71" s="10"/>
      <c r="Y71" s="11"/>
      <c r="Z71" s="1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2"/>
      <c r="M72" s="13"/>
      <c r="N72" s="13"/>
      <c r="O72" s="8"/>
      <c r="P72" s="8"/>
      <c r="Q72" s="9"/>
      <c r="R72" s="11"/>
      <c r="S72" s="11"/>
      <c r="T72" s="11"/>
      <c r="U72" s="11"/>
      <c r="V72" s="18"/>
      <c r="W72" s="12"/>
      <c r="X72" s="10"/>
      <c r="Y72" s="11"/>
      <c r="Z72" s="1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2"/>
      <c r="M73" s="13"/>
      <c r="N73" s="13"/>
      <c r="O73" s="8"/>
      <c r="P73" s="8"/>
      <c r="Q73" s="9"/>
      <c r="R73" s="11"/>
      <c r="S73" s="11"/>
      <c r="T73" s="11"/>
      <c r="U73" s="11"/>
      <c r="V73" s="18"/>
      <c r="W73" s="12"/>
      <c r="X73" s="10"/>
      <c r="Y73" s="11"/>
      <c r="Z73" s="1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2"/>
      <c r="M74" s="13"/>
      <c r="N74" s="13"/>
      <c r="O74" s="8"/>
      <c r="P74" s="8"/>
      <c r="Q74" s="9"/>
      <c r="R74" s="11"/>
      <c r="S74" s="11"/>
      <c r="T74" s="11"/>
      <c r="U74" s="11"/>
      <c r="V74" s="18"/>
      <c r="W74" s="12"/>
      <c r="X74" s="10"/>
      <c r="Y74" s="11"/>
      <c r="Z74" s="11"/>
    </row>
    <row r="75" spans="1:26" x14ac:dyDescent="0.2">
      <c r="A75" s="1"/>
      <c r="B75" s="1"/>
      <c r="C75" s="19"/>
      <c r="D75" s="1"/>
      <c r="E75" s="19"/>
      <c r="F75" s="1"/>
      <c r="G75" s="1"/>
      <c r="H75" s="1"/>
      <c r="I75" s="1"/>
      <c r="J75" s="1"/>
      <c r="K75" s="2"/>
      <c r="L75" s="2"/>
      <c r="M75" s="13"/>
      <c r="N75" s="13"/>
      <c r="O75" s="8"/>
      <c r="P75" s="8"/>
      <c r="Q75" s="9"/>
      <c r="R75" s="11"/>
      <c r="S75" s="11"/>
      <c r="T75" s="11"/>
      <c r="U75" s="11"/>
      <c r="V75" s="18"/>
      <c r="W75" s="12"/>
      <c r="X75" s="10"/>
      <c r="Y75" s="11"/>
      <c r="Z75" s="1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2"/>
      <c r="M76" s="13"/>
      <c r="N76" s="13"/>
      <c r="O76" s="8"/>
      <c r="P76" s="8"/>
      <c r="Q76" s="9"/>
      <c r="R76" s="11"/>
      <c r="S76" s="11"/>
      <c r="T76" s="11"/>
      <c r="U76" s="11"/>
      <c r="V76" s="18"/>
      <c r="W76" s="12"/>
      <c r="X76" s="10"/>
      <c r="Y76" s="11"/>
      <c r="Z76" s="1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2"/>
      <c r="M77" s="13"/>
      <c r="N77" s="13"/>
      <c r="O77" s="8"/>
      <c r="P77" s="8"/>
      <c r="Q77" s="9"/>
      <c r="R77" s="11"/>
      <c r="S77" s="11"/>
      <c r="T77" s="11"/>
      <c r="U77" s="11"/>
      <c r="V77" s="18"/>
      <c r="W77" s="12"/>
      <c r="X77" s="10"/>
      <c r="Y77" s="11"/>
      <c r="Z77" s="1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2"/>
      <c r="M78" s="13"/>
      <c r="N78" s="13"/>
      <c r="O78" s="8"/>
      <c r="P78" s="8"/>
      <c r="Q78" s="9"/>
      <c r="R78" s="11"/>
      <c r="S78" s="11"/>
      <c r="T78" s="11"/>
      <c r="U78" s="11"/>
      <c r="V78" s="18"/>
      <c r="W78" s="12"/>
      <c r="X78" s="10"/>
      <c r="Y78" s="11"/>
      <c r="Z78" s="1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2"/>
      <c r="M79" s="13"/>
      <c r="N79" s="13"/>
      <c r="O79" s="8"/>
      <c r="P79" s="8"/>
      <c r="Q79" s="9"/>
      <c r="R79" s="11"/>
      <c r="S79" s="11"/>
      <c r="T79" s="11"/>
      <c r="U79" s="11"/>
      <c r="V79" s="18"/>
      <c r="W79" s="12"/>
      <c r="X79" s="10"/>
      <c r="Y79" s="11"/>
      <c r="Z79" s="1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2"/>
      <c r="M80" s="13"/>
      <c r="N80" s="13"/>
      <c r="O80" s="8"/>
      <c r="P80" s="8"/>
      <c r="Q80" s="9"/>
      <c r="R80" s="11"/>
      <c r="S80" s="11"/>
      <c r="T80" s="11"/>
      <c r="U80" s="11"/>
      <c r="V80" s="18"/>
      <c r="W80" s="12"/>
      <c r="X80" s="10"/>
      <c r="Y80" s="11"/>
      <c r="Z80" s="11"/>
    </row>
    <row r="81" spans="1:28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2"/>
      <c r="M81" s="13"/>
      <c r="N81" s="13"/>
      <c r="O81" s="8"/>
      <c r="P81" s="8"/>
      <c r="Q81" s="9"/>
      <c r="R81" s="11"/>
      <c r="S81" s="11"/>
      <c r="T81" s="11"/>
      <c r="U81" s="11"/>
      <c r="V81" s="18"/>
      <c r="W81" s="12"/>
      <c r="X81" s="10"/>
      <c r="Y81" s="11"/>
      <c r="Z81" s="11"/>
    </row>
    <row r="82" spans="1:28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33"/>
      <c r="L82" s="33"/>
      <c r="M82" s="34"/>
      <c r="N82" s="34"/>
      <c r="O82" s="35"/>
      <c r="P82" s="35"/>
      <c r="Q82" s="9"/>
      <c r="R82" s="11"/>
      <c r="S82" s="11"/>
      <c r="T82" s="11"/>
      <c r="U82" s="11"/>
      <c r="V82" s="36"/>
      <c r="W82" s="12"/>
      <c r="X82" s="10"/>
      <c r="Y82" s="11"/>
      <c r="Z82" s="11"/>
      <c r="AA82" s="4"/>
      <c r="AB82" s="4"/>
    </row>
    <row r="83" spans="1:28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33"/>
      <c r="L83" s="33"/>
      <c r="M83" s="34"/>
      <c r="N83" s="34"/>
      <c r="O83" s="35"/>
      <c r="P83" s="35"/>
      <c r="Q83" s="9"/>
      <c r="R83" s="11"/>
      <c r="S83" s="11"/>
      <c r="T83" s="11"/>
      <c r="U83" s="11"/>
      <c r="V83" s="36"/>
      <c r="W83" s="12"/>
      <c r="X83" s="10"/>
      <c r="Y83" s="11"/>
      <c r="Z83" s="11"/>
      <c r="AA83" s="4"/>
      <c r="AB83" s="4"/>
    </row>
    <row r="84" spans="1:28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33"/>
      <c r="L84" s="33"/>
      <c r="M84" s="34"/>
      <c r="N84" s="34"/>
      <c r="O84" s="35"/>
      <c r="P84" s="35"/>
      <c r="Q84" s="9"/>
      <c r="R84" s="11"/>
      <c r="S84" s="11"/>
      <c r="T84" s="11"/>
      <c r="U84" s="11"/>
      <c r="V84" s="36"/>
      <c r="W84" s="12"/>
      <c r="X84" s="10"/>
      <c r="Y84" s="11"/>
      <c r="Z84" s="11"/>
      <c r="AA84" s="4"/>
      <c r="AB84" s="4"/>
    </row>
    <row r="85" spans="1:28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33"/>
      <c r="L85" s="33"/>
      <c r="M85" s="34"/>
      <c r="N85" s="34"/>
      <c r="O85" s="35"/>
      <c r="P85" s="35"/>
      <c r="Q85" s="9"/>
      <c r="R85" s="11"/>
      <c r="S85" s="11"/>
      <c r="T85" s="11"/>
      <c r="U85" s="11"/>
      <c r="V85" s="36"/>
      <c r="W85" s="12"/>
      <c r="X85" s="10"/>
      <c r="Y85" s="11"/>
      <c r="Z85" s="11"/>
      <c r="AA85" s="4"/>
      <c r="AB85" s="4"/>
    </row>
    <row r="86" spans="1:28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33"/>
      <c r="L86" s="33"/>
      <c r="M86" s="34"/>
      <c r="N86" s="34"/>
      <c r="O86" s="35"/>
      <c r="P86" s="35"/>
      <c r="Q86" s="9"/>
      <c r="R86" s="11"/>
      <c r="S86" s="11"/>
      <c r="T86" s="11"/>
      <c r="U86" s="11"/>
      <c r="V86" s="36"/>
      <c r="W86" s="12"/>
      <c r="X86" s="10"/>
      <c r="Y86" s="11"/>
      <c r="Z86" s="11"/>
      <c r="AA86" s="4"/>
      <c r="AB86" s="4"/>
    </row>
    <row r="87" spans="1:28" s="4" customFormat="1" x14ac:dyDescent="0.2">
      <c r="A87" s="3"/>
      <c r="B87" s="3"/>
      <c r="C87" s="3"/>
      <c r="D87" s="3"/>
      <c r="E87" s="14"/>
      <c r="F87" s="3"/>
      <c r="G87" s="3"/>
      <c r="H87" s="14"/>
      <c r="I87" s="3"/>
      <c r="J87" s="19"/>
      <c r="K87" s="33"/>
      <c r="L87" s="33"/>
      <c r="M87" s="34"/>
      <c r="N87" s="34"/>
      <c r="O87" s="35"/>
      <c r="P87" s="35"/>
      <c r="Q87" s="9"/>
      <c r="R87" s="11"/>
      <c r="S87" s="11"/>
      <c r="T87" s="11"/>
      <c r="U87" s="11"/>
      <c r="V87" s="36"/>
      <c r="W87" s="12"/>
      <c r="X87" s="10"/>
      <c r="Y87" s="11"/>
      <c r="Z87" s="11"/>
    </row>
    <row r="88" spans="1:28" s="4" customFormat="1" x14ac:dyDescent="0.2">
      <c r="A88" s="3"/>
      <c r="B88" s="3"/>
      <c r="C88" s="3"/>
      <c r="D88" s="3"/>
      <c r="E88" s="14"/>
      <c r="F88" s="3"/>
      <c r="G88" s="3"/>
      <c r="H88" s="14"/>
      <c r="I88" s="3"/>
      <c r="J88" s="19"/>
      <c r="K88" s="33"/>
      <c r="L88" s="33"/>
      <c r="M88" s="34"/>
      <c r="N88" s="34"/>
      <c r="O88" s="35"/>
      <c r="P88" s="35"/>
      <c r="Q88" s="9"/>
      <c r="R88" s="11"/>
      <c r="S88" s="11"/>
      <c r="T88" s="11"/>
      <c r="U88" s="11"/>
      <c r="V88" s="36"/>
      <c r="W88" s="12"/>
      <c r="X88" s="10"/>
      <c r="Y88" s="11"/>
      <c r="Z88" s="11"/>
    </row>
    <row r="89" spans="1:28" s="4" customFormat="1" x14ac:dyDescent="0.2">
      <c r="A89" s="3"/>
      <c r="B89" s="3"/>
      <c r="C89" s="3"/>
      <c r="D89" s="3"/>
      <c r="E89" s="14"/>
      <c r="F89" s="3"/>
      <c r="G89" s="3"/>
      <c r="H89" s="14"/>
      <c r="I89" s="3"/>
      <c r="J89" s="3"/>
      <c r="K89" s="33"/>
      <c r="L89" s="33"/>
      <c r="M89" s="34"/>
      <c r="N89" s="34"/>
      <c r="O89" s="35"/>
      <c r="P89" s="35"/>
      <c r="Q89" s="9"/>
      <c r="R89" s="11"/>
      <c r="S89" s="11"/>
      <c r="T89" s="11"/>
      <c r="U89" s="11"/>
      <c r="V89" s="36"/>
      <c r="W89" s="12"/>
      <c r="X89" s="10"/>
      <c r="Y89" s="11"/>
      <c r="Z89" s="11"/>
    </row>
    <row r="90" spans="1:28" s="4" customFormat="1" x14ac:dyDescent="0.2">
      <c r="A90" s="3"/>
      <c r="B90" s="3"/>
      <c r="C90" s="3"/>
      <c r="D90" s="3"/>
      <c r="E90" s="14"/>
      <c r="F90" s="3"/>
      <c r="G90" s="3"/>
      <c r="H90" s="14"/>
      <c r="I90" s="3"/>
      <c r="K90" s="33"/>
      <c r="L90" s="33"/>
      <c r="M90" s="34"/>
      <c r="N90" s="34"/>
      <c r="O90" s="35"/>
      <c r="P90" s="35"/>
      <c r="S90" s="11"/>
    </row>
    <row r="91" spans="1:28" x14ac:dyDescent="0.2">
      <c r="A91" s="19"/>
      <c r="B91" s="19"/>
      <c r="C91" s="19"/>
      <c r="D91" s="19"/>
      <c r="E91" s="47"/>
      <c r="F91" s="19"/>
      <c r="G91" s="19"/>
      <c r="H91" s="47"/>
      <c r="I91" s="19"/>
      <c r="J91" s="19"/>
      <c r="K91" s="33"/>
      <c r="L91" s="33"/>
      <c r="M91" s="34"/>
      <c r="N91" s="34"/>
      <c r="O91" s="35"/>
      <c r="P91" s="35"/>
      <c r="Q91" s="9"/>
      <c r="R91" s="11"/>
      <c r="S91" s="11"/>
      <c r="T91" s="11"/>
      <c r="U91" s="11"/>
      <c r="V91" s="19"/>
      <c r="W91" s="10"/>
      <c r="X91" s="10"/>
      <c r="Y91" s="11"/>
      <c r="Z91" s="11"/>
      <c r="AA91" s="4"/>
      <c r="AB91" s="4"/>
    </row>
    <row r="92" spans="1:28" x14ac:dyDescent="0.2">
      <c r="A92" s="19"/>
      <c r="B92" s="19"/>
      <c r="C92" s="19"/>
      <c r="D92" s="19"/>
      <c r="E92" s="47"/>
      <c r="F92" s="19"/>
      <c r="G92" s="19"/>
      <c r="H92" s="47"/>
      <c r="I92" s="19"/>
      <c r="J92" s="19"/>
      <c r="K92" s="33"/>
      <c r="L92" s="33"/>
      <c r="M92" s="34"/>
      <c r="N92" s="34"/>
      <c r="O92" s="35"/>
      <c r="P92" s="35"/>
      <c r="Q92" s="9"/>
      <c r="R92" s="11"/>
      <c r="S92" s="11"/>
      <c r="T92" s="11"/>
      <c r="U92" s="11"/>
      <c r="V92" s="19"/>
      <c r="W92" s="10"/>
      <c r="X92" s="10"/>
      <c r="Y92" s="11"/>
      <c r="Z92" s="11"/>
      <c r="AA92" s="4"/>
      <c r="AB92" s="4"/>
    </row>
    <row r="93" spans="1:28" x14ac:dyDescent="0.2">
      <c r="A93" s="1"/>
      <c r="B93" s="1"/>
      <c r="C93" s="1"/>
      <c r="D93" s="1"/>
      <c r="E93" s="15"/>
      <c r="F93" s="1"/>
      <c r="G93" s="1"/>
      <c r="H93" s="15"/>
      <c r="I93" s="1"/>
      <c r="J93" s="1"/>
      <c r="K93" s="2"/>
      <c r="L93" s="2"/>
      <c r="M93" s="13"/>
      <c r="N93" s="13"/>
      <c r="O93" s="8"/>
      <c r="P93" s="8"/>
      <c r="Q93" s="9"/>
      <c r="R93" s="11"/>
      <c r="S93" s="11"/>
      <c r="T93" s="11"/>
      <c r="U93" s="11"/>
      <c r="V93" s="1"/>
      <c r="W93" s="10"/>
      <c r="X93" s="10"/>
      <c r="Y93" s="11"/>
      <c r="Z93" s="11"/>
    </row>
    <row r="94" spans="1:28" s="4" customFormat="1" x14ac:dyDescent="0.2">
      <c r="A94" s="3"/>
      <c r="B94" s="3"/>
      <c r="C94" s="3"/>
      <c r="D94" s="3"/>
      <c r="E94" s="14"/>
      <c r="F94" s="3"/>
      <c r="G94" s="3"/>
      <c r="H94" s="14"/>
      <c r="I94" s="3"/>
      <c r="J94" s="3"/>
      <c r="K94" s="2"/>
      <c r="L94" s="2"/>
      <c r="M94" s="13"/>
      <c r="N94" s="13"/>
      <c r="O94" s="8"/>
      <c r="P94" s="8"/>
      <c r="Q94" s="9"/>
      <c r="R94" s="11"/>
      <c r="S94" s="11"/>
      <c r="T94" s="11"/>
      <c r="U94" s="11"/>
      <c r="V94" s="9"/>
      <c r="W94" s="10"/>
      <c r="X94" s="10"/>
      <c r="Y94" s="11"/>
      <c r="Z94" s="1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2"/>
  <sheetViews>
    <sheetView showRuler="0" topLeftCell="A6" workbookViewId="0">
      <selection activeCell="E61" sqref="E61"/>
    </sheetView>
  </sheetViews>
  <sheetFormatPr baseColWidth="10" defaultRowHeight="16" x14ac:dyDescent="0.2"/>
  <cols>
    <col min="1" max="1" width="19.1640625" customWidth="1"/>
    <col min="2" max="2" width="18" customWidth="1"/>
    <col min="3" max="3" width="18.33203125" customWidth="1"/>
  </cols>
  <sheetData>
    <row r="1" spans="1:3" s="17" customFormat="1" ht="32" x14ac:dyDescent="0.2">
      <c r="A1" s="5" t="str">
        <f>Plan!A1</f>
        <v>Site Name</v>
      </c>
      <c r="B1" s="5" t="str">
        <f>Plan!L1</f>
        <v>Site Longitude (decimal degrees)</v>
      </c>
      <c r="C1" s="5" t="str">
        <f>Plan!K1</f>
        <v>Site Latitude (decimal degrees)</v>
      </c>
    </row>
    <row r="2" spans="1:3" x14ac:dyDescent="0.2">
      <c r="A2" s="19" t="s">
        <v>34</v>
      </c>
      <c r="B2" s="33">
        <v>-106.07022666666667</v>
      </c>
      <c r="C2" s="16">
        <v>-4.5032933333333336</v>
      </c>
    </row>
    <row r="3" spans="1:3" x14ac:dyDescent="0.2">
      <c r="A3" s="19" t="s">
        <v>35</v>
      </c>
      <c r="B3" s="33">
        <v>-105.98141666666666</v>
      </c>
      <c r="C3" s="16">
        <v>-4.5177716666666665</v>
      </c>
    </row>
    <row r="4" spans="1:3" x14ac:dyDescent="0.2">
      <c r="A4" s="19" t="s">
        <v>36</v>
      </c>
      <c r="B4" s="33">
        <v>-105.89261</v>
      </c>
      <c r="C4" s="16">
        <v>-4.5328816666666665</v>
      </c>
    </row>
    <row r="5" spans="1:3" x14ac:dyDescent="0.2">
      <c r="A5" s="19" t="s">
        <v>37</v>
      </c>
      <c r="B5" s="33">
        <v>-105.80444666666666</v>
      </c>
      <c r="C5" s="16">
        <v>-4.5467316666666662</v>
      </c>
    </row>
    <row r="6" spans="1:3" x14ac:dyDescent="0.2">
      <c r="A6" s="19" t="s">
        <v>38</v>
      </c>
      <c r="B6" s="33">
        <v>-105.71563666666667</v>
      </c>
      <c r="C6" s="16">
        <v>-4.56121</v>
      </c>
    </row>
    <row r="7" spans="1:3" x14ac:dyDescent="0.2">
      <c r="A7" s="19" t="s">
        <v>39</v>
      </c>
      <c r="B7" s="33">
        <v>-105.62682833333334</v>
      </c>
      <c r="C7" s="16">
        <v>-4.5756899999999998</v>
      </c>
    </row>
    <row r="8" spans="1:3" x14ac:dyDescent="0.2">
      <c r="A8" s="19" t="s">
        <v>40</v>
      </c>
      <c r="B8" s="33">
        <v>-105.639315</v>
      </c>
      <c r="C8" s="16">
        <v>-4.6424216666666664</v>
      </c>
    </row>
    <row r="9" spans="1:3" x14ac:dyDescent="0.2">
      <c r="A9" s="19" t="s">
        <v>41</v>
      </c>
      <c r="B9" s="33">
        <v>-105.684045</v>
      </c>
      <c r="C9" s="16">
        <v>-4.6354966666666666</v>
      </c>
    </row>
    <row r="10" spans="1:3" x14ac:dyDescent="0.2">
      <c r="A10" s="19" t="s">
        <v>42</v>
      </c>
      <c r="B10" s="33">
        <v>-105.72812500000001</v>
      </c>
      <c r="C10" s="16">
        <v>-4.6279416666666666</v>
      </c>
    </row>
    <row r="11" spans="1:3" x14ac:dyDescent="0.2">
      <c r="A11" s="19" t="s">
        <v>33</v>
      </c>
      <c r="B11" s="33">
        <v>-105.772205</v>
      </c>
      <c r="C11" s="16">
        <v>-4.6203866666666666</v>
      </c>
    </row>
    <row r="12" spans="1:3" x14ac:dyDescent="0.2">
      <c r="A12" s="19" t="s">
        <v>43</v>
      </c>
      <c r="B12" s="33">
        <v>-105.81693333333334</v>
      </c>
      <c r="C12" s="16">
        <v>-4.6128333333333336</v>
      </c>
    </row>
    <row r="13" spans="1:3" x14ac:dyDescent="0.2">
      <c r="A13" s="19" t="s">
        <v>44</v>
      </c>
      <c r="B13" s="33">
        <v>-105.86101499999999</v>
      </c>
      <c r="C13" s="16">
        <v>-4.6059083333333337</v>
      </c>
    </row>
    <row r="14" spans="1:3" x14ac:dyDescent="0.2">
      <c r="A14" s="19" t="s">
        <v>45</v>
      </c>
      <c r="B14" s="33">
        <v>-105.905095</v>
      </c>
      <c r="C14" s="16">
        <v>-4.5983533333333337</v>
      </c>
    </row>
    <row r="15" spans="1:3" x14ac:dyDescent="0.2">
      <c r="A15" s="19" t="s">
        <v>46</v>
      </c>
      <c r="B15" s="33">
        <v>-105.94982333333333</v>
      </c>
      <c r="C15" s="16">
        <v>-4.591428333333333</v>
      </c>
    </row>
    <row r="16" spans="1:3" x14ac:dyDescent="0.2">
      <c r="A16" s="19" t="s">
        <v>47</v>
      </c>
      <c r="B16" s="33">
        <v>-105.99390333333334</v>
      </c>
      <c r="C16" s="16">
        <v>-4.583873333333333</v>
      </c>
    </row>
    <row r="17" spans="1:3" x14ac:dyDescent="0.2">
      <c r="A17" s="19" t="s">
        <v>48</v>
      </c>
      <c r="B17" s="33">
        <v>-106.03798333333333</v>
      </c>
      <c r="C17" s="16">
        <v>-4.5763199999999999</v>
      </c>
    </row>
    <row r="18" spans="1:3" x14ac:dyDescent="0.2">
      <c r="A18" s="19" t="s">
        <v>49</v>
      </c>
      <c r="B18" s="33">
        <v>-106.08271333333333</v>
      </c>
      <c r="C18" s="16">
        <v>-4.5693950000000001</v>
      </c>
    </row>
    <row r="19" spans="1:3" x14ac:dyDescent="0.2">
      <c r="A19" s="19" t="s">
        <v>50</v>
      </c>
      <c r="B19" s="33">
        <v>-106.09520000000001</v>
      </c>
      <c r="C19" s="16">
        <v>-4.6354966666666666</v>
      </c>
    </row>
    <row r="20" spans="1:3" x14ac:dyDescent="0.2">
      <c r="A20" s="19" t="s">
        <v>51</v>
      </c>
      <c r="B20" s="33">
        <v>-106.00703833333333</v>
      </c>
      <c r="C20" s="16">
        <v>-4.6499749999999995</v>
      </c>
    </row>
    <row r="21" spans="1:3" x14ac:dyDescent="0.2">
      <c r="A21" s="19" t="s">
        <v>52</v>
      </c>
      <c r="B21" s="33">
        <v>-105.91822999999999</v>
      </c>
      <c r="C21" s="16">
        <v>-4.6650849999999995</v>
      </c>
    </row>
    <row r="22" spans="1:3" x14ac:dyDescent="0.2">
      <c r="A22" s="19" t="s">
        <v>53</v>
      </c>
      <c r="B22" s="33">
        <v>-105.82942166666666</v>
      </c>
      <c r="C22" s="16">
        <v>-4.6795633333333333</v>
      </c>
    </row>
    <row r="23" spans="1:3" x14ac:dyDescent="0.2">
      <c r="A23" s="19" t="s">
        <v>54</v>
      </c>
      <c r="B23" s="33">
        <v>-105.74126</v>
      </c>
      <c r="C23" s="16">
        <v>-4.6940433333333331</v>
      </c>
    </row>
    <row r="24" spans="1:3" x14ac:dyDescent="0.2">
      <c r="A24" s="19" t="s">
        <v>55</v>
      </c>
      <c r="B24" s="33">
        <v>-105.65180166666667</v>
      </c>
      <c r="C24" s="16">
        <v>-4.7085233333333338</v>
      </c>
    </row>
    <row r="25" spans="1:3" x14ac:dyDescent="0.2">
      <c r="A25" s="39" t="s">
        <v>56</v>
      </c>
      <c r="B25" s="40">
        <v>-105.92972833333333</v>
      </c>
      <c r="C25" s="48">
        <v>-4.5945766666666668</v>
      </c>
    </row>
    <row r="26" spans="1:3" x14ac:dyDescent="0.2">
      <c r="A26" s="39" t="s">
        <v>57</v>
      </c>
      <c r="B26" s="40">
        <v>-105.92972833333333</v>
      </c>
      <c r="C26" s="48">
        <v>-4.5945766666666668</v>
      </c>
    </row>
    <row r="27" spans="1:3" x14ac:dyDescent="0.2">
      <c r="A27" s="39" t="s">
        <v>58</v>
      </c>
      <c r="B27" s="40">
        <v>-105.92972833333333</v>
      </c>
      <c r="C27" s="48">
        <v>-4.5945766666666668</v>
      </c>
    </row>
    <row r="28" spans="1:3" x14ac:dyDescent="0.2">
      <c r="A28" s="39" t="s">
        <v>59</v>
      </c>
      <c r="B28" s="40">
        <v>-105.92972833333333</v>
      </c>
      <c r="C28" s="48">
        <v>-4.5945766666666668</v>
      </c>
    </row>
    <row r="29" spans="1:3" x14ac:dyDescent="0.2">
      <c r="A29" s="39" t="s">
        <v>60</v>
      </c>
      <c r="B29" s="40">
        <v>-105.92972833333333</v>
      </c>
      <c r="C29" s="48">
        <v>-4.5945766666666668</v>
      </c>
    </row>
    <row r="30" spans="1:3" x14ac:dyDescent="0.2">
      <c r="A30" s="39" t="s">
        <v>61</v>
      </c>
      <c r="B30" s="40">
        <v>-105.92972833333333</v>
      </c>
      <c r="C30" s="48">
        <v>-4.5945766666666668</v>
      </c>
    </row>
    <row r="31" spans="1:3" x14ac:dyDescent="0.2">
      <c r="A31" s="39" t="s">
        <v>62</v>
      </c>
      <c r="B31" s="40">
        <v>-105.92972833333333</v>
      </c>
      <c r="C31" s="48">
        <v>-4.5945766666666668</v>
      </c>
    </row>
    <row r="32" spans="1:3" x14ac:dyDescent="0.2">
      <c r="A32" s="39" t="s">
        <v>63</v>
      </c>
      <c r="B32" s="40">
        <v>-105.94986166666666</v>
      </c>
      <c r="C32" s="48">
        <v>-4.606538333333333</v>
      </c>
    </row>
    <row r="33" spans="1:3" x14ac:dyDescent="0.2">
      <c r="A33" s="39" t="s">
        <v>64</v>
      </c>
      <c r="B33" s="40">
        <v>-105.94986166666666</v>
      </c>
      <c r="C33" s="48">
        <v>-4.606538333333333</v>
      </c>
    </row>
    <row r="34" spans="1:3" x14ac:dyDescent="0.2">
      <c r="A34" s="39" t="s">
        <v>65</v>
      </c>
      <c r="B34" s="40">
        <v>-105.94986166666666</v>
      </c>
      <c r="C34" s="48">
        <v>-4.606538333333333</v>
      </c>
    </row>
    <row r="35" spans="1:3" x14ac:dyDescent="0.2">
      <c r="A35" s="39" t="s">
        <v>66</v>
      </c>
      <c r="B35" s="40">
        <v>-105.94986166666666</v>
      </c>
      <c r="C35" s="48">
        <v>-4.606538333333333</v>
      </c>
    </row>
    <row r="36" spans="1:3" x14ac:dyDescent="0.2">
      <c r="A36" s="39" t="s">
        <v>67</v>
      </c>
      <c r="B36" s="40">
        <v>-105.94986166666666</v>
      </c>
      <c r="C36" s="48">
        <v>-4.606538333333333</v>
      </c>
    </row>
    <row r="37" spans="1:3" x14ac:dyDescent="0.2">
      <c r="A37" s="39" t="s">
        <v>68</v>
      </c>
      <c r="B37" s="40">
        <v>-105.94986166666666</v>
      </c>
      <c r="C37" s="48">
        <v>-4.606538333333333</v>
      </c>
    </row>
    <row r="38" spans="1:3" x14ac:dyDescent="0.2">
      <c r="A38" s="39" t="s">
        <v>69</v>
      </c>
      <c r="B38" s="40">
        <v>-105.94986166666666</v>
      </c>
      <c r="C38" s="48">
        <v>-4.606538333333333</v>
      </c>
    </row>
    <row r="39" spans="1:3" x14ac:dyDescent="0.2">
      <c r="A39" s="39" t="s">
        <v>70</v>
      </c>
      <c r="B39" s="40">
        <v>-105.96991666666666</v>
      </c>
      <c r="C39" s="48">
        <v>-4.5870216666666668</v>
      </c>
    </row>
    <row r="40" spans="1:3" x14ac:dyDescent="0.2">
      <c r="A40" s="39" t="s">
        <v>71</v>
      </c>
      <c r="B40" s="40">
        <v>-105.96991666666666</v>
      </c>
      <c r="C40" s="48">
        <v>-4.5870216666666668</v>
      </c>
    </row>
    <row r="41" spans="1:3" x14ac:dyDescent="0.2">
      <c r="A41" s="39" t="s">
        <v>72</v>
      </c>
      <c r="B41" s="40">
        <v>-105.96991666666666</v>
      </c>
      <c r="C41" s="48">
        <v>-4.5870216666666668</v>
      </c>
    </row>
    <row r="42" spans="1:3" x14ac:dyDescent="0.2">
      <c r="A42" s="39" t="s">
        <v>73</v>
      </c>
      <c r="B42" s="40">
        <v>-105.96991666666666</v>
      </c>
      <c r="C42" s="48">
        <v>-4.5870216666666668</v>
      </c>
    </row>
    <row r="43" spans="1:3" x14ac:dyDescent="0.2">
      <c r="A43" s="39" t="s">
        <v>74</v>
      </c>
      <c r="B43" s="40">
        <v>-105.96991666666666</v>
      </c>
      <c r="C43" s="48">
        <v>-4.5870216666666668</v>
      </c>
    </row>
    <row r="44" spans="1:3" x14ac:dyDescent="0.2">
      <c r="A44" s="39" t="s">
        <v>75</v>
      </c>
      <c r="B44" s="40">
        <v>-105.96991666666666</v>
      </c>
      <c r="C44" s="48">
        <v>-4.5870216666666668</v>
      </c>
    </row>
    <row r="45" spans="1:3" x14ac:dyDescent="0.2">
      <c r="A45" s="39" t="s">
        <v>76</v>
      </c>
      <c r="B45" s="40">
        <v>-105.96991666666666</v>
      </c>
      <c r="C45" s="48">
        <v>-4.5870216666666668</v>
      </c>
    </row>
    <row r="46" spans="1:3" x14ac:dyDescent="0.2">
      <c r="A46" s="39" t="s">
        <v>77</v>
      </c>
      <c r="B46" s="40">
        <v>-105.94395333333334</v>
      </c>
      <c r="C46" s="48">
        <v>-4.5775783333333333</v>
      </c>
    </row>
    <row r="47" spans="1:3" x14ac:dyDescent="0.2">
      <c r="A47" s="39" t="s">
        <v>78</v>
      </c>
      <c r="B47" s="40">
        <v>-105.94395333333334</v>
      </c>
      <c r="C47" s="48">
        <v>-4.5775783333333333</v>
      </c>
    </row>
    <row r="48" spans="1:3" x14ac:dyDescent="0.2">
      <c r="A48" s="39" t="s">
        <v>79</v>
      </c>
      <c r="B48" s="40">
        <v>-105.94395333333334</v>
      </c>
      <c r="C48" s="48">
        <v>-4.5775783333333333</v>
      </c>
    </row>
    <row r="49" spans="1:3" x14ac:dyDescent="0.2">
      <c r="A49" s="39" t="s">
        <v>80</v>
      </c>
      <c r="B49" s="40">
        <v>-105.94395333333334</v>
      </c>
      <c r="C49" s="48">
        <v>-4.5775783333333333</v>
      </c>
    </row>
    <row r="50" spans="1:3" x14ac:dyDescent="0.2">
      <c r="A50" s="39" t="s">
        <v>81</v>
      </c>
      <c r="B50" s="40">
        <v>-105.94395333333334</v>
      </c>
      <c r="C50" s="48">
        <v>-4.5775783333333333</v>
      </c>
    </row>
    <row r="51" spans="1:3" x14ac:dyDescent="0.2">
      <c r="A51" s="39" t="s">
        <v>82</v>
      </c>
      <c r="B51" s="40">
        <v>-105.94395333333334</v>
      </c>
      <c r="C51" s="48">
        <v>-4.5775783333333333</v>
      </c>
    </row>
    <row r="52" spans="1:3" x14ac:dyDescent="0.2">
      <c r="A52" s="39" t="s">
        <v>83</v>
      </c>
      <c r="B52" s="40">
        <v>-105.94395333333334</v>
      </c>
      <c r="C52" s="48">
        <v>-4.5775783333333333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Assumptions</vt:lpstr>
      <vt:lpstr>Plan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Collins</dc:creator>
  <cp:lastModifiedBy>John Collins</cp:lastModifiedBy>
  <dcterms:created xsi:type="dcterms:W3CDTF">2014-03-12T19:21:27Z</dcterms:created>
  <dcterms:modified xsi:type="dcterms:W3CDTF">2019-08-12T18:38:18Z</dcterms:modified>
</cp:coreProperties>
</file>