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Attach\"/>
    </mc:Choice>
  </mc:AlternateContent>
  <xr:revisionPtr revIDLastSave="0" documentId="8_{8DD907B4-A02F-4FFD-A5ED-3E9EF38C710E}" xr6:coauthVersionLast="47" xr6:coauthVersionMax="47" xr10:uidLastSave="{00000000-0000-0000-0000-000000000000}"/>
  <bookViews>
    <workbookView xWindow="-120" yWindow="-120" windowWidth="29040" windowHeight="15720" activeTab="1" xr2:uid="{E022889D-331B-4366-904C-F8AD5D44E68B}"/>
  </bookViews>
  <sheets>
    <sheet name="SCI GEAR LOADOUT" sheetId="7" r:id="rId1"/>
    <sheet name="DIVE PLANNER" sheetId="8" r:id="rId2"/>
    <sheet name="NO TOUCH - BACKGROUND" sheetId="9" r:id="rId3"/>
  </sheets>
  <definedNames>
    <definedName name="_xlnm._FilterDatabase" localSheetId="0" hidden="1">'SCI GEAR LOADOUT'!$A$8:$A$10</definedName>
    <definedName name="_xlnm.Criteria" localSheetId="0">'SCI GEAR LOADOUT'!$A$8:$A$10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8" l="1"/>
  <c r="M6" i="7"/>
  <c r="F9" i="7"/>
  <c r="C32" i="9"/>
  <c r="D45" i="8"/>
  <c r="B45" i="8"/>
  <c r="B45" i="9"/>
  <c r="B44" i="9" s="1"/>
  <c r="B54" i="9"/>
  <c r="B53" i="9" s="1"/>
  <c r="B63" i="9"/>
  <c r="B62" i="9" s="1"/>
  <c r="B70" i="9"/>
  <c r="B69" i="9" s="1"/>
  <c r="M9" i="7"/>
  <c r="L9" i="7"/>
  <c r="E9" i="7"/>
  <c r="J10" i="7"/>
  <c r="M10" i="7" s="1"/>
  <c r="I10" i="7"/>
  <c r="L10" i="7" s="1"/>
  <c r="B9" i="8"/>
  <c r="B42" i="9" s="1"/>
  <c r="B41" i="9" s="1"/>
  <c r="B40" i="9" s="1"/>
  <c r="C33" i="9" s="1"/>
  <c r="B52" i="9" l="1"/>
  <c r="B37" i="9" s="1"/>
  <c r="B36" i="9" s="1"/>
  <c r="C31" i="9" s="1"/>
  <c r="D23" i="9" s="1"/>
  <c r="J38" i="8" s="1"/>
  <c r="B10" i="7" l="1"/>
  <c r="E10" i="7" s="1"/>
  <c r="C10" i="7"/>
  <c r="F10" i="7" s="1"/>
  <c r="F6" i="7" s="1"/>
  <c r="G6" i="7" s="1"/>
  <c r="B8" i="8" s="1"/>
  <c r="D48" i="8"/>
  <c r="D49" i="8"/>
  <c r="B49" i="8"/>
  <c r="B48" i="8"/>
  <c r="D47" i="8"/>
  <c r="B47" i="8"/>
  <c r="B46" i="8"/>
  <c r="D46" i="8"/>
  <c r="E6" i="7" l="1"/>
  <c r="B4" i="8" s="1"/>
  <c r="L6" i="7"/>
  <c r="B6" i="8" s="1"/>
  <c r="I49" i="8"/>
  <c r="C49" i="8"/>
  <c r="I48" i="8"/>
  <c r="C48" i="8"/>
  <c r="I47" i="8"/>
  <c r="C47" i="8"/>
  <c r="I46" i="8"/>
  <c r="C46" i="8"/>
  <c r="I45" i="8"/>
  <c r="C45" i="8"/>
  <c r="D44" i="8"/>
  <c r="I44" i="8" s="1"/>
  <c r="B44" i="8"/>
  <c r="D42" i="8"/>
  <c r="I42" i="8" s="1"/>
  <c r="B42" i="8"/>
  <c r="E42" i="8" s="1"/>
  <c r="F42" i="8" s="1"/>
  <c r="D41" i="8"/>
  <c r="I41" i="8" s="1"/>
  <c r="B41" i="8"/>
  <c r="E41" i="8" s="1"/>
  <c r="F41" i="8" s="1"/>
  <c r="D40" i="8"/>
  <c r="I40" i="8" s="1"/>
  <c r="B40" i="8"/>
  <c r="E40" i="8" s="1"/>
  <c r="F40" i="8" s="1"/>
  <c r="I32" i="8"/>
  <c r="G32" i="8"/>
  <c r="F39" i="8" l="1"/>
  <c r="B43" i="8"/>
  <c r="E44" i="8"/>
  <c r="F44" i="8" s="1"/>
  <c r="B7" i="8"/>
  <c r="F34" i="8" s="1"/>
  <c r="E32" i="8"/>
  <c r="E47" i="8"/>
  <c r="F47" i="8" s="1"/>
  <c r="B39" i="8"/>
  <c r="C44" i="8"/>
  <c r="C43" i="8" s="1"/>
  <c r="I39" i="8"/>
  <c r="I43" i="8"/>
  <c r="C42" i="8"/>
  <c r="D43" i="8"/>
  <c r="C40" i="8"/>
  <c r="D39" i="8"/>
  <c r="C41" i="8"/>
  <c r="Q4" i="9" l="1"/>
  <c r="I3" i="9"/>
  <c r="Q3" i="9"/>
  <c r="E4" i="9"/>
  <c r="M4" i="9"/>
  <c r="E5" i="9"/>
  <c r="M5" i="9"/>
  <c r="E6" i="9"/>
  <c r="M3" i="9"/>
  <c r="E7" i="9"/>
  <c r="I4" i="9"/>
  <c r="E3" i="9"/>
  <c r="I5" i="9"/>
  <c r="I6" i="9"/>
  <c r="H34" i="8"/>
  <c r="G34" i="8"/>
  <c r="I34" i="8"/>
  <c r="J35" i="8" s="1"/>
  <c r="E48" i="8"/>
  <c r="F48" i="8" s="1"/>
  <c r="E45" i="8"/>
  <c r="F45" i="8" s="1"/>
  <c r="E49" i="8"/>
  <c r="F49" i="8" s="1"/>
  <c r="E46" i="8"/>
  <c r="F46" i="8" s="1"/>
  <c r="B25" i="8"/>
  <c r="B23" i="8"/>
  <c r="B24" i="8"/>
  <c r="B22" i="8"/>
  <c r="C39" i="8"/>
  <c r="H47" i="8"/>
  <c r="G47" i="8"/>
  <c r="F43" i="8" l="1"/>
  <c r="H45" i="8"/>
  <c r="G48" i="8"/>
  <c r="H49" i="8"/>
  <c r="G46" i="8"/>
  <c r="D38" i="8"/>
  <c r="G49" i="8"/>
  <c r="G45" i="8"/>
  <c r="H46" i="8"/>
  <c r="H48" i="8"/>
  <c r="H41" i="8" l="1"/>
  <c r="G41" i="8"/>
  <c r="H42" i="8"/>
  <c r="G42" i="8"/>
  <c r="H40" i="8"/>
  <c r="G40" i="8"/>
  <c r="B38" i="8"/>
  <c r="K38" i="8"/>
  <c r="E39" i="8"/>
  <c r="B5" i="8"/>
  <c r="D34" i="8" s="1"/>
  <c r="C38" i="8" l="1"/>
  <c r="E38" i="8" s="1"/>
  <c r="G38" i="8" s="1"/>
  <c r="I38" i="8" s="1"/>
  <c r="G39" i="8"/>
  <c r="H39" i="8"/>
  <c r="B34" i="8"/>
  <c r="C34" i="8" l="1"/>
  <c r="E34" i="8" s="1"/>
  <c r="H38" i="8"/>
  <c r="F38" i="8"/>
  <c r="B35" i="8"/>
  <c r="D35" i="8"/>
  <c r="I35" i="8" l="1"/>
  <c r="C35" i="8"/>
  <c r="E35" i="8" s="1"/>
  <c r="E43" i="8"/>
  <c r="H44" i="8"/>
  <c r="H43" i="8" s="1"/>
  <c r="G44" i="8"/>
  <c r="G43" i="8" s="1"/>
  <c r="F35" i="8" l="1"/>
  <c r="H35" i="8"/>
  <c r="J37" i="8" s="1"/>
  <c r="G35" i="8"/>
  <c r="B37" i="8" l="1"/>
  <c r="B36" i="8" s="1"/>
  <c r="B3" i="9" l="1"/>
  <c r="C3" i="9" s="1"/>
  <c r="D3" i="9" s="1"/>
  <c r="N3" i="9"/>
  <c r="O3" i="9" s="1"/>
  <c r="P3" i="9" s="1"/>
  <c r="J3" i="9"/>
  <c r="K3" i="9" s="1"/>
  <c r="L3" i="9" s="1"/>
  <c r="F3" i="9"/>
  <c r="G3" i="9" s="1"/>
  <c r="H3" i="9" s="1"/>
  <c r="D37" i="8"/>
  <c r="D36" i="8" s="1"/>
  <c r="D33" i="8" s="1"/>
  <c r="K37" i="8"/>
  <c r="J36" i="8"/>
  <c r="B33" i="8"/>
  <c r="C37" i="8" l="1"/>
  <c r="C36" i="8" s="1"/>
  <c r="C33" i="8" s="1"/>
  <c r="B26" i="8"/>
  <c r="A7" i="9"/>
  <c r="B7" i="9" s="1"/>
  <c r="C7" i="9" s="1"/>
  <c r="D7" i="9" s="1"/>
  <c r="A6" i="9"/>
  <c r="F6" i="9" s="1"/>
  <c r="G6" i="9" s="1"/>
  <c r="H6" i="9" s="1"/>
  <c r="A4" i="9"/>
  <c r="N4" i="9" s="1"/>
  <c r="O4" i="9" s="1"/>
  <c r="P4" i="9" s="1"/>
  <c r="A5" i="9"/>
  <c r="F5" i="9" l="1"/>
  <c r="G5" i="9" s="1"/>
  <c r="H5" i="9" s="1"/>
  <c r="J5" i="9"/>
  <c r="K5" i="9" s="1"/>
  <c r="L5" i="9" s="1"/>
  <c r="F4" i="9"/>
  <c r="G4" i="9" s="1"/>
  <c r="H4" i="9" s="1"/>
  <c r="J4" i="9"/>
  <c r="K4" i="9" s="1"/>
  <c r="L4" i="9" s="1"/>
  <c r="B6" i="9"/>
  <c r="B4" i="9"/>
  <c r="B5" i="9"/>
  <c r="E37" i="8"/>
  <c r="F37" i="8" s="1"/>
  <c r="F36" i="8" s="1"/>
  <c r="F33" i="8" s="1"/>
  <c r="C6" i="9" l="1"/>
  <c r="C4" i="9"/>
  <c r="C5" i="9"/>
  <c r="G37" i="8"/>
  <c r="G36" i="8" s="1"/>
  <c r="G33" i="8" s="1"/>
  <c r="H37" i="8"/>
  <c r="H36" i="8" s="1"/>
  <c r="H33" i="8" s="1"/>
  <c r="I37" i="8"/>
  <c r="I36" i="8" s="1"/>
  <c r="I33" i="8" s="1"/>
  <c r="E36" i="8"/>
  <c r="E33" i="8" s="1"/>
  <c r="B17" i="8" l="1"/>
  <c r="B18" i="8" s="1"/>
  <c r="B15" i="8"/>
  <c r="B16" i="8" s="1"/>
  <c r="D6" i="9"/>
  <c r="D4" i="9"/>
  <c r="D5" i="9"/>
</calcChain>
</file>

<file path=xl/sharedStrings.xml><?xml version="1.0" encoding="utf-8"?>
<sst xmlns="http://schemas.openxmlformats.org/spreadsheetml/2006/main" count="283" uniqueCount="170">
  <si>
    <t>ASSEMBLY</t>
  </si>
  <si>
    <t>-</t>
  </si>
  <si>
    <t>LBSW</t>
  </si>
  <si>
    <t>CU.IN</t>
  </si>
  <si>
    <t>LBS / CU.IN</t>
  </si>
  <si>
    <t>ELEVATOR</t>
  </si>
  <si>
    <t>LBSA</t>
  </si>
  <si>
    <t>SCI PAYLOAD</t>
  </si>
  <si>
    <t>0M - DESCENT</t>
  </si>
  <si>
    <t>0M - ASCENT</t>
  </si>
  <si>
    <t>PSI</t>
  </si>
  <si>
    <t>#</t>
  </si>
  <si>
    <t>IN</t>
  </si>
  <si>
    <t>+ LBSW = SINK</t>
  </si>
  <si>
    <t>ASCENT WEIGHT</t>
  </si>
  <si>
    <t>DESCENT WEIGHT</t>
  </si>
  <si>
    <t>BLOCK 1</t>
  </si>
  <si>
    <t>BLOCK 2</t>
  </si>
  <si>
    <t>BLOCK 3</t>
  </si>
  <si>
    <t>MATERIAL DATA</t>
  </si>
  <si>
    <t>SALTWATER</t>
  </si>
  <si>
    <t>MATERIAL</t>
  </si>
  <si>
    <t>BULK MODULUS</t>
  </si>
  <si>
    <t>FOAM</t>
  </si>
  <si>
    <t>TARGETS</t>
  </si>
  <si>
    <t>CRITERIA</t>
  </si>
  <si>
    <t>BASE ELEVATOR</t>
  </si>
  <si>
    <t>ASCENT/DESCENT STEEL</t>
  </si>
  <si>
    <t>MARGIN STEEL</t>
  </si>
  <si>
    <t>INPUTS</t>
  </si>
  <si>
    <t>DEPTH - DESCENT</t>
  </si>
  <si>
    <t>DEPTH - ASCENT</t>
  </si>
  <si>
    <t>CHART SAMPLE DATA</t>
  </si>
  <si>
    <t>SCI GEAR DESCRIPTION</t>
  </si>
  <si>
    <t>QTY</t>
  </si>
  <si>
    <t>LBS</t>
  </si>
  <si>
    <t>Sample Gear 1</t>
  </si>
  <si>
    <t>ITEM AIR WT</t>
  </si>
  <si>
    <t>ITEM WATER WT</t>
  </si>
  <si>
    <t>QTY AIR WT</t>
  </si>
  <si>
    <t>QTY WATER WT</t>
  </si>
  <si>
    <t>TARGET DEPTH (M)</t>
  </si>
  <si>
    <t>XXXX</t>
  </si>
  <si>
    <t>DATE:</t>
  </si>
  <si>
    <t>+ LBSW= SINK</t>
  </si>
  <si>
    <t>NDE REV:</t>
  </si>
  <si>
    <t>ESTIMATED DESCENT SPEED (M/MIN)</t>
  </si>
  <si>
    <t>ESTIMATED DESCENT TIME (MIN)</t>
  </si>
  <si>
    <t>ESTIMATED ASCENT SPEED (M/MIN)</t>
  </si>
  <si>
    <t>ESTIMATED ASCENT TIME (MIN)</t>
  </si>
  <si>
    <t>W&amp;B DIVE STAGES</t>
  </si>
  <si>
    <t>0M - DISPL</t>
  </si>
  <si>
    <t># PLATES</t>
  </si>
  <si>
    <t>STACK HEIGHT</t>
  </si>
  <si>
    <t>MARGIN FOAM BLOCKS 1-3</t>
  </si>
  <si>
    <t>BASE BLOCK</t>
  </si>
  <si>
    <t>BARE ELEVATOR (NO FOAM)</t>
  </si>
  <si>
    <t>DENSITY @0M</t>
  </si>
  <si>
    <t>DENSITY @DEPTH</t>
  </si>
  <si>
    <t>AIR WT</t>
  </si>
  <si>
    <t>WTR WT @0M</t>
  </si>
  <si>
    <t>WTR WT @DEPTH</t>
  </si>
  <si>
    <t>THICKNESS</t>
  </si>
  <si>
    <t>STEEL PLATE</t>
  </si>
  <si>
    <t>SCI PAYLOAD AIR</t>
  </si>
  <si>
    <t>DENSITY, ρ(S, t, P)</t>
  </si>
  <si>
    <t>LBS/CU.IN</t>
  </si>
  <si>
    <t>KG/CU.M</t>
  </si>
  <si>
    <t>SALINITY, S</t>
  </si>
  <si>
    <t>PSS</t>
  </si>
  <si>
    <t>TEMP, t</t>
  </si>
  <si>
    <t>DEG-C</t>
  </si>
  <si>
    <t>PRESSURE, P</t>
  </si>
  <si>
    <t>BAR</t>
  </si>
  <si>
    <t>DEPTH, Z</t>
  </si>
  <si>
    <t>M</t>
  </si>
  <si>
    <t>DENSITY CALC CONST/VARS</t>
  </si>
  <si>
    <t>ρ(S, t, 0)</t>
  </si>
  <si>
    <t>ρw</t>
  </si>
  <si>
    <t>a0</t>
  </si>
  <si>
    <t>a1</t>
  </si>
  <si>
    <t>b0</t>
  </si>
  <si>
    <t>b1</t>
  </si>
  <si>
    <t>c0</t>
  </si>
  <si>
    <t>c1</t>
  </si>
  <si>
    <t>SEC BULK MOD, K(S, t, P)</t>
  </si>
  <si>
    <t>KG/SQ.M</t>
  </si>
  <si>
    <t>K(S, t, 0)</t>
  </si>
  <si>
    <t>Kw</t>
  </si>
  <si>
    <t>e0</t>
  </si>
  <si>
    <t>e1</t>
  </si>
  <si>
    <t>e2</t>
  </si>
  <si>
    <t>f0</t>
  </si>
  <si>
    <t>f1</t>
  </si>
  <si>
    <t>g0</t>
  </si>
  <si>
    <t>g1</t>
  </si>
  <si>
    <t>A</t>
  </si>
  <si>
    <t>Aw</t>
  </si>
  <si>
    <t>h0</t>
  </si>
  <si>
    <t>h1</t>
  </si>
  <si>
    <t>i0</t>
  </si>
  <si>
    <t>i1</t>
  </si>
  <si>
    <t>j0</t>
  </si>
  <si>
    <t>B</t>
  </si>
  <si>
    <t>Bw</t>
  </si>
  <si>
    <t>k0</t>
  </si>
  <si>
    <t>k1</t>
  </si>
  <si>
    <t>m0</t>
  </si>
  <si>
    <t>m1</t>
  </si>
  <si>
    <t>SW DENSITY &amp; PRESS CALC</t>
  </si>
  <si>
    <t>TRACKING EQUIPMENT DATA</t>
  </si>
  <si>
    <t>BURN BOTTLE AL3402-0101-000 (6500M)</t>
  </si>
  <si>
    <t>EQUIPMENT</t>
  </si>
  <si>
    <t>BURN BOTTLE AL3402-0101-000 (4500M)</t>
  </si>
  <si>
    <t>SONARDYNE AVTRACK 6HP (4500M)</t>
  </si>
  <si>
    <t>SONARDYNE AVTRACK 6HP (6500M)</t>
  </si>
  <si>
    <t>METOCEAN MMB-INF MINI-BEACON (6500M)</t>
  </si>
  <si>
    <t>METOCEAN MMB-7500 MINI-BEACON (4500M)</t>
  </si>
  <si>
    <t>METOCEAN MMF-7500 MINI-FLASHER (4500M)</t>
  </si>
  <si>
    <t>METOCEAN MMF-INF MINI-FLASHER (6500M)</t>
  </si>
  <si>
    <t>TARGET DESCENT WT @DEPTH (MIN TGT = 100)</t>
  </si>
  <si>
    <t>TARGET ASCENT WT @0M (MIN TGT = -100)</t>
  </si>
  <si>
    <t>BLOCK INDEX</t>
  </si>
  <si>
    <t>TARGET CARRIED WT @DEPTH (TYPICAL = 50)</t>
  </si>
  <si>
    <t>ELEVATOR SCI GEAR LOADOUT</t>
  </si>
  <si>
    <t>MAX SCI PAYLOAD + MARGIN STEEL AIR WT</t>
  </si>
  <si>
    <t>MAX SCI PAYLOAD WATER WT - BASE BLOCK</t>
  </si>
  <si>
    <t>MAX SCI PAYLOAD WATER WT - BLOCK 1</t>
  </si>
  <si>
    <t>MAX SCI PAYLOAD WATER WT - BLOCK 2</t>
  </si>
  <si>
    <t>MAX SCI PAYLOAD WATER WT - BLOCK 3</t>
  </si>
  <si>
    <t>TARGET DEPTH (M):</t>
  </si>
  <si>
    <t>SELECT/ENTER SCI GEAR</t>
  </si>
  <si>
    <t>SCI PAYLOAD DESCENT AIR WT (LBSA)</t>
  </si>
  <si>
    <t>SCI PAYLOAD DESCENT WATER WT @ 0M (LBSW)</t>
  </si>
  <si>
    <t>SCI PAYLOAD ASCENT AIR WT (LBSA)</t>
  </si>
  <si>
    <t>SCI PAYLOAD ASCENT WATER WT @ 0M (LBSW)</t>
  </si>
  <si>
    <t>ABSOLUTE MAX TOTAL ELEVATOR AIR WT</t>
  </si>
  <si>
    <t>OPERATING LIMITS BASED ON INPUTS</t>
  </si>
  <si>
    <t>COPY/ENTER SCI GEAR</t>
  </si>
  <si>
    <t>DIVE #:</t>
  </si>
  <si>
    <t>INI AIR WT</t>
  </si>
  <si>
    <t>COMPONENT DATA</t>
  </si>
  <si>
    <t>STEEL</t>
  </si>
  <si>
    <t>DEPTH - CARRY</t>
  </si>
  <si>
    <t>DEPTH - DEPLOY SCI</t>
  </si>
  <si>
    <t>Δ</t>
  </si>
  <si>
    <t>DESCENT TOTAL SCI GEAR</t>
  </si>
  <si>
    <t>ASCENT TOTAL SCI GEAR</t>
  </si>
  <si>
    <t>Pitch Plate</t>
  </si>
  <si>
    <t>SCI PAYLOAD WATER WT Δ (LBSW)</t>
  </si>
  <si>
    <t>MARGIN FOAM BLOCK #</t>
  </si>
  <si>
    <t>BASE FOAM BLOCK</t>
  </si>
  <si>
    <t>MARGIN FOAM BLOCK (BLKS 1 - 3)</t>
  </si>
  <si>
    <t>ABS MAX SCI WTR #0</t>
  </si>
  <si>
    <t>REL MAX SCI WTR #0</t>
  </si>
  <si>
    <t>REL MAX MARGIN STEEL WTR #0</t>
  </si>
  <si>
    <t>REL MAX MARGIN STEEL AIR #0</t>
  </si>
  <si>
    <t>REL MAX MARGIN STEEL AIR #1</t>
  </si>
  <si>
    <t>REL MAX MARGIN STEEL WTR #1</t>
  </si>
  <si>
    <t>REL MAX SCI WTR #1</t>
  </si>
  <si>
    <t>ABS MAX SCI WTR #1</t>
  </si>
  <si>
    <t>REL MAX MARGIN STEEL AIR #2</t>
  </si>
  <si>
    <t>REL MAX MARGIN STEEL WTR #2</t>
  </si>
  <si>
    <t>REL MAX SCI WTR #2</t>
  </si>
  <si>
    <t>ABS MAX SCI WTR #2</t>
  </si>
  <si>
    <t>REL MAX MARGIN STEEL AIR #3</t>
  </si>
  <si>
    <t>REL MAX MARGIN STEEL WTR #3</t>
  </si>
  <si>
    <t>REL MAX SCI WTR #3</t>
  </si>
  <si>
    <t>ABS MAX SCI WTR #3</t>
  </si>
  <si>
    <t>ELEVATOR DIVE PLANNER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</si>
</sst>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0000"/>
    <numFmt numFmtId="167" formatCode="0.0000"/>
    <numFmt numFmtId="168" formatCode="[$-409]d\-mmm\-yyyy;@"/>
  </numFmts>
  <fonts count="14" x14ac:knownFonts="1">
    <font>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i/>
      <sz val="12"/>
      <color theme="1"/>
      <name val="Calibri"/>
      <family val="2"/>
      <scheme val="minor"/>
    </font>
    <font>
      <sz val="12"/>
      <color theme="0"/>
      <name val="Calibri"/>
      <family val="2"/>
      <scheme val="minor"/>
    </font>
    <font>
      <b/>
      <sz val="12"/>
      <name val="Calibri"/>
      <family val="2"/>
      <scheme val="minor"/>
    </font>
    <font>
      <sz val="12"/>
      <color rgb="FFFF0000"/>
      <name val="Calibri"/>
      <family val="2"/>
      <scheme val="minor"/>
    </font>
    <font>
      <sz val="12"/>
      <name val="Calibri"/>
      <family val="2"/>
      <scheme val="minor"/>
    </font>
    <font>
      <b/>
      <sz val="12"/>
      <color theme="1"/>
      <name val="Calibri"/>
      <family val="2"/>
    </font>
    <font>
      <i/>
      <sz val="12"/>
      <color theme="1"/>
      <name val="Calibri"/>
      <family val="2"/>
      <scheme val="minor"/>
    </font>
    <font>
      <sz val="8"/>
      <name val="Calibri"/>
      <family val="2"/>
      <scheme val="minor"/>
    </font>
    <font>
      <b/>
      <sz val="12"/>
      <color theme="0"/>
      <name val="Calibri"/>
      <family val="2"/>
    </font>
    <font>
      <b/>
      <sz val="12"/>
      <name val="Calibri"/>
      <family val="2"/>
    </font>
  </fonts>
  <fills count="13">
    <fill>
      <patternFill patternType="none"/>
    </fill>
    <fill>
      <patternFill patternType="gray125"/>
    </fill>
    <fill>
      <patternFill patternType="solid">
        <fgColor rgb="FF92D050"/>
        <bgColor indexed="64"/>
      </patternFill>
    </fill>
    <fill>
      <patternFill patternType="solid">
        <fgColor theme="4" tint="0.79998168889431442"/>
        <bgColor indexed="64"/>
      </patternFill>
    </fill>
    <fill>
      <patternFill patternType="solid">
        <fgColor theme="1"/>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cellStyleXfs>
  <cellXfs count="123">
    <xf numFmtId="0" fontId="0" fillId="0" borderId="0" xfId="0"/>
    <xf numFmtId="0" fontId="1" fillId="0" borderId="0" xfId="0" applyFont="1" applyAlignment="1">
      <alignment vertical="top"/>
    </xf>
    <xf numFmtId="0" fontId="2" fillId="0" borderId="0" xfId="0" applyFont="1" applyAlignment="1">
      <alignment horizontal="center" vertical="top"/>
    </xf>
    <xf numFmtId="1" fontId="1" fillId="2" borderId="1" xfId="0" applyNumberFormat="1" applyFont="1" applyFill="1" applyBorder="1" applyAlignment="1">
      <alignment horizontal="center" vertical="top"/>
    </xf>
    <xf numFmtId="0" fontId="1" fillId="0" borderId="0" xfId="0" applyFont="1" applyAlignment="1">
      <alignment vertical="top" wrapText="1"/>
    </xf>
    <xf numFmtId="0" fontId="1" fillId="0" borderId="0" xfId="0" applyFont="1" applyAlignment="1">
      <alignment horizontal="center" vertical="top"/>
    </xf>
    <xf numFmtId="0" fontId="2" fillId="0" borderId="0" xfId="0" applyFont="1" applyAlignment="1">
      <alignment vertical="top"/>
    </xf>
    <xf numFmtId="0" fontId="3" fillId="4" borderId="0" xfId="0" applyFont="1" applyFill="1" applyAlignment="1">
      <alignment horizontal="center" vertical="top"/>
    </xf>
    <xf numFmtId="0" fontId="2" fillId="0" borderId="0" xfId="0" applyFont="1" applyAlignment="1">
      <alignment horizontal="left" vertical="top"/>
    </xf>
    <xf numFmtId="15" fontId="1" fillId="0" borderId="0" xfId="0" applyNumberFormat="1" applyFont="1" applyAlignment="1">
      <alignment horizontal="right" vertical="top"/>
    </xf>
    <xf numFmtId="0" fontId="5" fillId="4" borderId="0" xfId="0" applyFont="1" applyFill="1" applyAlignment="1">
      <alignment horizontal="right" vertical="top"/>
    </xf>
    <xf numFmtId="15" fontId="5" fillId="4" borderId="0" xfId="0" applyNumberFormat="1" applyFont="1" applyFill="1" applyAlignment="1">
      <alignment horizontal="left" vertical="top"/>
    </xf>
    <xf numFmtId="0" fontId="1" fillId="0" borderId="0" xfId="0" applyFont="1"/>
    <xf numFmtId="0" fontId="3" fillId="0" borderId="0" xfId="0" applyFont="1" applyAlignment="1">
      <alignment horizontal="center" vertical="top"/>
    </xf>
    <xf numFmtId="1" fontId="1" fillId="0" borderId="0" xfId="0" applyNumberFormat="1" applyFont="1" applyAlignment="1">
      <alignment horizontal="center" vertical="top"/>
    </xf>
    <xf numFmtId="0" fontId="1" fillId="0" borderId="0" xfId="0" applyFont="1" applyAlignment="1">
      <alignment horizontal="center"/>
    </xf>
    <xf numFmtId="0" fontId="1" fillId="0" borderId="0" xfId="0" applyFont="1" applyAlignment="1">
      <alignment horizontal="left"/>
    </xf>
    <xf numFmtId="0" fontId="3" fillId="0" borderId="0" xfId="0" applyFont="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right"/>
    </xf>
    <xf numFmtId="0" fontId="6" fillId="0" borderId="0" xfId="0" applyFont="1" applyAlignment="1">
      <alignment horizontal="center"/>
    </xf>
    <xf numFmtId="0" fontId="1" fillId="6" borderId="1" xfId="0" applyFont="1" applyFill="1" applyBorder="1" applyAlignment="1">
      <alignment horizontal="center"/>
    </xf>
    <xf numFmtId="49" fontId="1" fillId="6" borderId="1" xfId="0" applyNumberFormat="1" applyFont="1" applyFill="1" applyBorder="1" applyAlignment="1">
      <alignment horizontal="center"/>
    </xf>
    <xf numFmtId="164" fontId="6" fillId="2" borderId="1" xfId="0" applyNumberFormat="1" applyFont="1" applyFill="1" applyBorder="1" applyAlignment="1">
      <alignment horizontal="center"/>
    </xf>
    <xf numFmtId="0" fontId="3" fillId="5" borderId="1" xfId="0" applyFont="1" applyFill="1" applyBorder="1" applyAlignment="1">
      <alignment horizontal="center" vertical="top"/>
    </xf>
    <xf numFmtId="49" fontId="3" fillId="5" borderId="1" xfId="0" applyNumberFormat="1" applyFont="1" applyFill="1" applyBorder="1" applyAlignment="1">
      <alignment horizontal="center" vertical="top"/>
    </xf>
    <xf numFmtId="0" fontId="2" fillId="6" borderId="1" xfId="0" applyFont="1" applyFill="1" applyBorder="1" applyAlignment="1">
      <alignment horizontal="left" vertical="top"/>
    </xf>
    <xf numFmtId="164" fontId="1" fillId="6" borderId="1" xfId="0" applyNumberFormat="1" applyFont="1" applyFill="1" applyBorder="1" applyAlignment="1">
      <alignment horizontal="center" vertical="top"/>
    </xf>
    <xf numFmtId="0" fontId="1" fillId="6" borderId="1" xfId="0" applyFont="1" applyFill="1" applyBorder="1" applyAlignment="1">
      <alignment horizontal="center" vertical="top"/>
    </xf>
    <xf numFmtId="0" fontId="3" fillId="4" borderId="1" xfId="0" applyFont="1" applyFill="1" applyBorder="1" applyAlignment="1">
      <alignment horizontal="left" vertical="top"/>
    </xf>
    <xf numFmtId="1" fontId="1" fillId="6" borderId="1" xfId="0" applyNumberFormat="1" applyFont="1" applyFill="1" applyBorder="1" applyAlignment="1">
      <alignment horizontal="center" vertical="top"/>
    </xf>
    <xf numFmtId="0" fontId="3" fillId="0" borderId="0" xfId="0" applyFont="1" applyAlignment="1">
      <alignment horizontal="left" vertical="top"/>
    </xf>
    <xf numFmtId="0" fontId="3" fillId="4" borderId="1" xfId="0" applyFont="1" applyFill="1" applyBorder="1" applyAlignment="1">
      <alignment horizontal="center" vertical="top"/>
    </xf>
    <xf numFmtId="0" fontId="2" fillId="6" borderId="1" xfId="0" applyFont="1" applyFill="1" applyBorder="1" applyAlignment="1">
      <alignment horizontal="center" vertical="top"/>
    </xf>
    <xf numFmtId="0" fontId="4" fillId="6" borderId="1" xfId="0" applyFont="1" applyFill="1" applyBorder="1" applyAlignment="1">
      <alignment horizontal="left" vertical="top"/>
    </xf>
    <xf numFmtId="0" fontId="2" fillId="9" borderId="1" xfId="0" applyFont="1" applyFill="1" applyBorder="1" applyAlignment="1">
      <alignment vertical="top"/>
    </xf>
    <xf numFmtId="1" fontId="1" fillId="9" borderId="1" xfId="0" applyNumberFormat="1" applyFont="1" applyFill="1" applyBorder="1" applyAlignment="1">
      <alignment horizontal="center" vertical="top"/>
    </xf>
    <xf numFmtId="0" fontId="2" fillId="7" borderId="1" xfId="0" applyFont="1" applyFill="1" applyBorder="1" applyAlignment="1">
      <alignment vertical="top"/>
    </xf>
    <xf numFmtId="164" fontId="1" fillId="7" borderId="1" xfId="0" applyNumberFormat="1" applyFont="1" applyFill="1" applyBorder="1" applyAlignment="1">
      <alignment horizontal="center" vertical="top"/>
    </xf>
    <xf numFmtId="1" fontId="1" fillId="7" borderId="1" xfId="0" applyNumberFormat="1" applyFont="1" applyFill="1" applyBorder="1" applyAlignment="1">
      <alignment horizontal="center" vertical="top"/>
    </xf>
    <xf numFmtId="0" fontId="2" fillId="6" borderId="1" xfId="0" applyFont="1" applyFill="1" applyBorder="1" applyAlignment="1">
      <alignment vertical="top"/>
    </xf>
    <xf numFmtId="0" fontId="2" fillId="6" borderId="1" xfId="0" applyFont="1" applyFill="1" applyBorder="1" applyAlignment="1">
      <alignment vertical="top" wrapText="1"/>
    </xf>
    <xf numFmtId="164" fontId="1" fillId="6" borderId="1" xfId="0" applyNumberFormat="1" applyFont="1" applyFill="1" applyBorder="1" applyAlignment="1">
      <alignment horizontal="center" vertical="top" wrapText="1"/>
    </xf>
    <xf numFmtId="0" fontId="1" fillId="6" borderId="1" xfId="0" applyFont="1" applyFill="1" applyBorder="1" applyAlignment="1">
      <alignment horizontal="center" vertical="top" wrapText="1"/>
    </xf>
    <xf numFmtId="166" fontId="1" fillId="6" borderId="1" xfId="0" applyNumberFormat="1" applyFont="1" applyFill="1" applyBorder="1" applyAlignment="1">
      <alignment horizontal="center" vertical="top"/>
    </xf>
    <xf numFmtId="167" fontId="7" fillId="0" borderId="0" xfId="0" applyNumberFormat="1" applyFont="1" applyAlignment="1">
      <alignment horizontal="center" vertical="top"/>
    </xf>
    <xf numFmtId="167" fontId="3" fillId="4" borderId="1" xfId="0" applyNumberFormat="1" applyFont="1" applyFill="1" applyBorder="1" applyAlignment="1">
      <alignment horizontal="center" vertical="top"/>
    </xf>
    <xf numFmtId="0" fontId="1" fillId="0" borderId="0" xfId="0" applyFont="1" applyAlignment="1">
      <alignment wrapText="1"/>
    </xf>
    <xf numFmtId="165" fontId="1" fillId="0" borderId="0" xfId="0" applyNumberFormat="1" applyFont="1" applyAlignment="1">
      <alignment horizontal="center"/>
    </xf>
    <xf numFmtId="0" fontId="1" fillId="10" borderId="1" xfId="0" applyFont="1" applyFill="1" applyBorder="1" applyAlignment="1">
      <alignment horizontal="center" vertical="top"/>
    </xf>
    <xf numFmtId="0" fontId="1" fillId="6" borderId="1" xfId="0" applyFont="1" applyFill="1" applyBorder="1"/>
    <xf numFmtId="0" fontId="1" fillId="6" borderId="1" xfId="0" quotePrefix="1" applyFont="1" applyFill="1" applyBorder="1" applyAlignment="1">
      <alignment horizontal="center"/>
    </xf>
    <xf numFmtId="165" fontId="1" fillId="6" borderId="1" xfId="0" applyNumberFormat="1" applyFont="1" applyFill="1" applyBorder="1"/>
    <xf numFmtId="166" fontId="1" fillId="7" borderId="1" xfId="0" applyNumberFormat="1" applyFont="1" applyFill="1" applyBorder="1"/>
    <xf numFmtId="0" fontId="1" fillId="7" borderId="1" xfId="0" applyFont="1" applyFill="1" applyBorder="1" applyAlignment="1">
      <alignment horizontal="center"/>
    </xf>
    <xf numFmtId="2" fontId="1" fillId="7" borderId="1" xfId="0" applyNumberFormat="1" applyFont="1" applyFill="1" applyBorder="1"/>
    <xf numFmtId="0" fontId="1" fillId="7" borderId="1" xfId="0" applyFont="1" applyFill="1" applyBorder="1"/>
    <xf numFmtId="0" fontId="2" fillId="6"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2" fillId="3" borderId="1" xfId="0" applyFont="1" applyFill="1" applyBorder="1" applyAlignment="1">
      <alignment horizontal="center" vertical="top" wrapText="1"/>
    </xf>
    <xf numFmtId="165" fontId="1" fillId="8" borderId="1" xfId="0" applyNumberFormat="1" applyFont="1" applyFill="1" applyBorder="1" applyAlignment="1">
      <alignment horizontal="center" vertical="top"/>
    </xf>
    <xf numFmtId="165" fontId="1" fillId="3" borderId="1" xfId="0" applyNumberFormat="1" applyFont="1" applyFill="1" applyBorder="1" applyAlignment="1">
      <alignment horizontal="center" vertical="top"/>
    </xf>
    <xf numFmtId="0" fontId="2" fillId="11" borderId="1" xfId="0" applyFont="1" applyFill="1" applyBorder="1" applyAlignment="1">
      <alignment horizontal="center" vertical="top" wrapText="1"/>
    </xf>
    <xf numFmtId="165" fontId="1" fillId="11" borderId="1" xfId="0" applyNumberFormat="1" applyFont="1" applyFill="1" applyBorder="1" applyAlignment="1">
      <alignment horizontal="center" vertical="top"/>
    </xf>
    <xf numFmtId="0" fontId="2" fillId="12" borderId="1" xfId="0" applyFont="1" applyFill="1" applyBorder="1" applyAlignment="1">
      <alignment horizontal="center" vertical="top" wrapText="1"/>
    </xf>
    <xf numFmtId="165" fontId="1" fillId="12" borderId="1" xfId="0" applyNumberFormat="1" applyFont="1" applyFill="1" applyBorder="1" applyAlignment="1">
      <alignment horizontal="center" vertical="top"/>
    </xf>
    <xf numFmtId="0" fontId="2" fillId="10" borderId="1" xfId="0" applyFont="1" applyFill="1" applyBorder="1" applyAlignment="1">
      <alignment vertical="top" wrapText="1"/>
    </xf>
    <xf numFmtId="0" fontId="10" fillId="0" borderId="0" xfId="0" applyFont="1" applyAlignment="1">
      <alignment horizontal="center" vertical="top"/>
    </xf>
    <xf numFmtId="0" fontId="0" fillId="0" borderId="4" xfId="0" applyBorder="1"/>
    <xf numFmtId="0" fontId="0" fillId="0" borderId="5" xfId="0" applyBorder="1"/>
    <xf numFmtId="164" fontId="1" fillId="0" borderId="0" xfId="0" applyNumberFormat="1" applyFont="1" applyAlignment="1">
      <alignment horizontal="center"/>
    </xf>
    <xf numFmtId="0" fontId="3" fillId="4" borderId="2" xfId="0" applyFont="1" applyFill="1" applyBorder="1" applyAlignment="1">
      <alignment horizontal="center"/>
    </xf>
    <xf numFmtId="0" fontId="1" fillId="6" borderId="2" xfId="0" applyFont="1" applyFill="1" applyBorder="1" applyAlignment="1">
      <alignment horizontal="center"/>
    </xf>
    <xf numFmtId="0" fontId="1" fillId="0" borderId="5" xfId="0" applyFont="1" applyBorder="1" applyAlignment="1">
      <alignment horizontal="center"/>
    </xf>
    <xf numFmtId="0" fontId="1" fillId="0" borderId="5" xfId="0" applyFont="1" applyBorder="1"/>
    <xf numFmtId="164" fontId="1" fillId="0" borderId="5" xfId="0" applyNumberFormat="1" applyFont="1" applyBorder="1" applyAlignment="1">
      <alignment horizontal="center"/>
    </xf>
    <xf numFmtId="0" fontId="3" fillId="0" borderId="0" xfId="0" applyFont="1" applyAlignment="1">
      <alignment horizontal="right"/>
    </xf>
    <xf numFmtId="0" fontId="3" fillId="4" borderId="3" xfId="0" applyFont="1" applyFill="1" applyBorder="1" applyAlignment="1">
      <alignment horizontal="center"/>
    </xf>
    <xf numFmtId="0" fontId="1" fillId="6" borderId="5" xfId="0" applyFont="1" applyFill="1" applyBorder="1"/>
    <xf numFmtId="0" fontId="1" fillId="6" borderId="6" xfId="0" applyFont="1" applyFill="1" applyBorder="1"/>
    <xf numFmtId="0" fontId="1" fillId="6" borderId="5" xfId="0" applyFont="1" applyFill="1" applyBorder="1" applyAlignment="1">
      <alignment horizontal="center"/>
    </xf>
    <xf numFmtId="0" fontId="1" fillId="6" borderId="6" xfId="0" applyFont="1" applyFill="1" applyBorder="1" applyAlignment="1">
      <alignment horizontal="center"/>
    </xf>
    <xf numFmtId="0" fontId="1" fillId="10" borderId="1" xfId="0" applyFont="1" applyFill="1" applyBorder="1" applyAlignment="1">
      <alignment horizontal="center"/>
    </xf>
    <xf numFmtId="0" fontId="6" fillId="10" borderId="1" xfId="0" applyFont="1" applyFill="1" applyBorder="1" applyAlignment="1">
      <alignment horizontal="center"/>
    </xf>
    <xf numFmtId="168" fontId="6" fillId="10" borderId="1" xfId="0" applyNumberFormat="1" applyFont="1" applyFill="1" applyBorder="1" applyAlignment="1">
      <alignment horizontal="center"/>
    </xf>
    <xf numFmtId="0" fontId="1" fillId="10" borderId="2" xfId="0" applyFont="1" applyFill="1" applyBorder="1" applyAlignment="1">
      <alignment horizontal="center"/>
    </xf>
    <xf numFmtId="0" fontId="1" fillId="0" borderId="4" xfId="0" applyFont="1" applyBorder="1" applyAlignment="1">
      <alignment horizontal="left"/>
    </xf>
    <xf numFmtId="0" fontId="1" fillId="0" borderId="4" xfId="0" applyFont="1" applyBorder="1"/>
    <xf numFmtId="164" fontId="6" fillId="2" borderId="2" xfId="0" applyNumberFormat="1" applyFont="1" applyFill="1" applyBorder="1" applyAlignment="1">
      <alignment horizontal="center"/>
    </xf>
    <xf numFmtId="165" fontId="1" fillId="0" borderId="0" xfId="0" applyNumberFormat="1" applyFont="1" applyAlignment="1">
      <alignment horizontal="center" vertical="top"/>
    </xf>
    <xf numFmtId="0" fontId="1" fillId="4" borderId="0" xfId="0" applyFont="1" applyFill="1"/>
    <xf numFmtId="0" fontId="1" fillId="4" borderId="0" xfId="0" applyFont="1" applyFill="1" applyAlignment="1">
      <alignment horizontal="center"/>
    </xf>
    <xf numFmtId="0" fontId="3" fillId="4" borderId="0" xfId="0" applyFont="1" applyFill="1" applyAlignment="1">
      <alignment horizontal="center" vertical="top" wrapText="1"/>
    </xf>
    <xf numFmtId="0" fontId="3" fillId="4" borderId="1" xfId="0" applyFont="1" applyFill="1" applyBorder="1" applyAlignment="1">
      <alignment horizontal="center" vertical="top" wrapText="1"/>
    </xf>
    <xf numFmtId="0" fontId="2" fillId="6" borderId="1" xfId="0" applyFont="1" applyFill="1" applyBorder="1" applyAlignment="1">
      <alignment horizontal="left" vertical="top" wrapText="1"/>
    </xf>
    <xf numFmtId="0" fontId="5" fillId="0" borderId="0" xfId="0" applyFont="1" applyAlignment="1">
      <alignment horizontal="right" vertical="top"/>
    </xf>
    <xf numFmtId="15" fontId="5" fillId="0" borderId="0" xfId="0" applyNumberFormat="1" applyFont="1" applyAlignment="1">
      <alignment horizontal="left" vertical="top"/>
    </xf>
    <xf numFmtId="0" fontId="3" fillId="4" borderId="0" xfId="0" applyFont="1" applyFill="1" applyAlignment="1">
      <alignment vertical="top" wrapText="1"/>
    </xf>
    <xf numFmtId="1" fontId="1" fillId="6" borderId="1" xfId="0" applyNumberFormat="1" applyFont="1" applyFill="1" applyBorder="1" applyAlignment="1">
      <alignment horizontal="center" vertical="top" wrapText="1"/>
    </xf>
    <xf numFmtId="1" fontId="1" fillId="0" borderId="0" xfId="0" applyNumberFormat="1" applyFont="1" applyAlignment="1">
      <alignment horizontal="center" vertical="top" wrapText="1"/>
    </xf>
    <xf numFmtId="0" fontId="3" fillId="4" borderId="0" xfId="0" applyFont="1" applyFill="1" applyAlignment="1">
      <alignment wrapText="1"/>
    </xf>
    <xf numFmtId="0" fontId="9" fillId="7" borderId="1" xfId="0" applyFont="1" applyFill="1" applyBorder="1" applyAlignment="1">
      <alignment wrapText="1"/>
    </xf>
    <xf numFmtId="0" fontId="9" fillId="6" borderId="1" xfId="0" applyFont="1" applyFill="1" applyBorder="1" applyAlignment="1">
      <alignment wrapText="1"/>
    </xf>
    <xf numFmtId="0" fontId="2" fillId="6" borderId="1" xfId="0" applyFont="1" applyFill="1" applyBorder="1" applyAlignment="1">
      <alignment wrapText="1"/>
    </xf>
    <xf numFmtId="0" fontId="2" fillId="7" borderId="1" xfId="0" applyFont="1" applyFill="1" applyBorder="1" applyAlignment="1">
      <alignment wrapText="1"/>
    </xf>
    <xf numFmtId="0" fontId="1" fillId="6" borderId="6" xfId="0" applyFont="1" applyFill="1" applyBorder="1" applyAlignment="1">
      <alignment horizontal="center" wrapText="1"/>
    </xf>
    <xf numFmtId="0" fontId="1" fillId="6" borderId="1" xfId="0" applyFont="1" applyFill="1" applyBorder="1" applyAlignment="1">
      <alignment horizontal="center" wrapText="1"/>
    </xf>
    <xf numFmtId="0" fontId="1" fillId="6" borderId="7" xfId="0" applyFont="1" applyFill="1" applyBorder="1" applyAlignment="1">
      <alignment horizontal="center" wrapText="1"/>
    </xf>
    <xf numFmtId="0" fontId="2" fillId="6" borderId="8" xfId="0" applyFont="1" applyFill="1" applyBorder="1" applyAlignment="1">
      <alignment horizontal="left" vertical="top" wrapText="1"/>
    </xf>
    <xf numFmtId="164" fontId="1" fillId="6" borderId="8" xfId="0" applyNumberFormat="1" applyFont="1" applyFill="1" applyBorder="1" applyAlignment="1">
      <alignment horizontal="center" vertical="top"/>
    </xf>
    <xf numFmtId="0" fontId="1" fillId="6" borderId="8" xfId="0" applyFont="1" applyFill="1" applyBorder="1" applyAlignment="1">
      <alignment horizontal="center" vertical="top"/>
    </xf>
    <xf numFmtId="0" fontId="2" fillId="0" borderId="0" xfId="0" applyFont="1" applyAlignment="1">
      <alignment vertical="top" wrapText="1"/>
    </xf>
    <xf numFmtId="164" fontId="1" fillId="0" borderId="0" xfId="0" applyNumberFormat="1" applyFont="1" applyAlignment="1">
      <alignment horizontal="center" vertical="top" wrapText="1"/>
    </xf>
    <xf numFmtId="164" fontId="1" fillId="0" borderId="0" xfId="0" applyNumberFormat="1" applyFont="1" applyAlignment="1">
      <alignment vertical="top"/>
    </xf>
    <xf numFmtId="0" fontId="6" fillId="0" borderId="9" xfId="0" applyFont="1" applyBorder="1" applyAlignment="1">
      <alignment horizontal="center"/>
    </xf>
    <xf numFmtId="49" fontId="1" fillId="4" borderId="1" xfId="0" applyNumberFormat="1" applyFont="1" applyFill="1" applyBorder="1" applyAlignment="1">
      <alignment horizontal="center"/>
    </xf>
    <xf numFmtId="0" fontId="1" fillId="4" borderId="6" xfId="0" applyFont="1" applyFill="1" applyBorder="1" applyAlignment="1">
      <alignment horizontal="center"/>
    </xf>
    <xf numFmtId="0" fontId="1" fillId="4" borderId="6" xfId="0" applyFont="1" applyFill="1" applyBorder="1"/>
    <xf numFmtId="0" fontId="12" fillId="4" borderId="5" xfId="0" applyFont="1" applyFill="1" applyBorder="1" applyAlignment="1">
      <alignment horizontal="center" vertical="center"/>
    </xf>
    <xf numFmtId="0" fontId="3" fillId="0" borderId="4" xfId="0" applyFont="1" applyBorder="1" applyAlignment="1">
      <alignment horizontal="center"/>
    </xf>
    <xf numFmtId="0" fontId="13" fillId="6" borderId="5" xfId="0" applyFont="1" applyFill="1" applyBorder="1" applyAlignment="1">
      <alignment horizontal="left" vertical="center"/>
    </xf>
    <xf numFmtId="164" fontId="8" fillId="6" borderId="1" xfId="0" applyNumberFormat="1" applyFont="1" applyFill="1" applyBorder="1" applyAlignment="1">
      <alignment horizontal="center" vertical="top"/>
    </xf>
    <xf numFmtId="164" fontId="6" fillId="9" borderId="7" xfId="0" applyNumberFormat="1" applyFont="1" applyFill="1" applyBorder="1" applyAlignment="1">
      <alignment horizontal="center"/>
    </xf>
  </cellXfs>
  <cellStyles count="1">
    <cellStyle name="Normal" xfId="0" builtinId="0"/>
  </cellStyles>
  <dxfs count="7">
    <dxf>
      <font>
        <color rgb="FF9C0006"/>
      </font>
      <fill>
        <patternFill>
          <bgColor rgb="FFFFC7CE"/>
        </patternFill>
      </fill>
    </dxf>
    <dxf>
      <font>
        <b/>
        <i val="0"/>
        <strike val="0"/>
        <color theme="1"/>
      </font>
      <fill>
        <patternFill>
          <fgColor rgb="FFFF0000"/>
          <bgColor rgb="FFFF0000"/>
        </patternFill>
      </fill>
      <border>
        <left style="thin">
          <color rgb="FFC00000"/>
        </left>
        <right style="thin">
          <color rgb="FFC00000"/>
        </right>
        <top style="thin">
          <color rgb="FFC00000"/>
        </top>
        <bottom style="thin">
          <color rgb="FFC00000"/>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6500M ELEVATOR - SCIENCE PAYLOAD LIMITS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BASE BLK MAX SCI AIR WT</c:v>
          </c:tx>
          <c:spPr>
            <a:ln w="19050" cap="rnd">
              <a:solidFill>
                <a:srgbClr val="C00000"/>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BACKGROUND'!$D$3:$D$7</c:f>
              <c:numCache>
                <c:formatCode>0.000</c:formatCode>
                <c:ptCount val="5"/>
                <c:pt idx="0">
                  <c:v>-801.98260869565229</c:v>
                </c:pt>
                <c:pt idx="1">
                  <c:v>-374.73391304347825</c:v>
                </c:pt>
                <c:pt idx="2">
                  <c:v>-237.34260869565219</c:v>
                </c:pt>
                <c:pt idx="3">
                  <c:v>-99.951304347826095</c:v>
                </c:pt>
                <c:pt idx="4">
                  <c:v>37.44</c:v>
                </c:pt>
              </c:numCache>
            </c:numRef>
          </c:yVal>
          <c:smooth val="0"/>
          <c:extLst>
            <c:ext xmlns:c16="http://schemas.microsoft.com/office/drawing/2014/chart" uri="{C3380CC4-5D6E-409C-BE32-E72D297353CC}">
              <c16:uniqueId val="{00000002-A898-47BA-BA33-35D813E2153B}"/>
            </c:ext>
          </c:extLst>
        </c:ser>
        <c:ser>
          <c:idx val="1"/>
          <c:order val="1"/>
          <c:tx>
            <c:v>BASE BLK MAX SCI WTR WT</c:v>
          </c:tx>
          <c:spPr>
            <a:ln w="19050" cap="rnd">
              <a:solidFill>
                <a:srgbClr val="C00000"/>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BACKGROUND'!$E$3:$E$7</c:f>
              <c:numCache>
                <c:formatCode>0.000</c:formatCode>
                <c:ptCount val="5"/>
                <c:pt idx="0">
                  <c:v>37.44</c:v>
                </c:pt>
                <c:pt idx="1">
                  <c:v>37.44</c:v>
                </c:pt>
                <c:pt idx="2">
                  <c:v>37.44</c:v>
                </c:pt>
                <c:pt idx="3">
                  <c:v>37.44</c:v>
                </c:pt>
                <c:pt idx="4">
                  <c:v>37.44</c:v>
                </c:pt>
              </c:numCache>
            </c:numRef>
          </c:yVal>
          <c:smooth val="0"/>
          <c:extLst>
            <c:ext xmlns:c16="http://schemas.microsoft.com/office/drawing/2014/chart" uri="{C3380CC4-5D6E-409C-BE32-E72D297353CC}">
              <c16:uniqueId val="{00000003-A898-47BA-BA33-35D813E2153B}"/>
            </c:ext>
          </c:extLst>
        </c:ser>
        <c:ser>
          <c:idx val="2"/>
          <c:order val="2"/>
          <c:tx>
            <c:v>BLK 1 MAX SCI AIR WT</c:v>
          </c:tx>
          <c:spPr>
            <a:ln w="19050" cap="rnd">
              <a:solidFill>
                <a:schemeClr val="accent1"/>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BACKGROUND'!$H$3:$H$7</c:f>
              <c:numCache>
                <c:formatCode>0.000</c:formatCode>
                <c:ptCount val="5"/>
                <c:pt idx="0">
                  <c:v>-548.59130434782628</c:v>
                </c:pt>
                <c:pt idx="1">
                  <c:v>-121.34260869565213</c:v>
                </c:pt>
                <c:pt idx="2">
                  <c:v>16.048695652173905</c:v>
                </c:pt>
                <c:pt idx="3">
                  <c:v>153.44</c:v>
                </c:pt>
              </c:numCache>
            </c:numRef>
          </c:yVal>
          <c:smooth val="0"/>
          <c:extLst>
            <c:ext xmlns:c16="http://schemas.microsoft.com/office/drawing/2014/chart" uri="{C3380CC4-5D6E-409C-BE32-E72D297353CC}">
              <c16:uniqueId val="{00000004-A898-47BA-BA33-35D813E2153B}"/>
            </c:ext>
          </c:extLst>
        </c:ser>
        <c:ser>
          <c:idx val="3"/>
          <c:order val="3"/>
          <c:tx>
            <c:v>BLK 1 MAX SCI WTR WT</c:v>
          </c:tx>
          <c:spPr>
            <a:ln w="19050" cap="rnd">
              <a:solidFill>
                <a:schemeClr val="accent1"/>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BACKGROUND'!$I$3:$I$7</c:f>
              <c:numCache>
                <c:formatCode>0.000</c:formatCode>
                <c:ptCount val="5"/>
                <c:pt idx="0">
                  <c:v>153.44</c:v>
                </c:pt>
                <c:pt idx="1">
                  <c:v>153.44</c:v>
                </c:pt>
                <c:pt idx="2">
                  <c:v>153.44</c:v>
                </c:pt>
                <c:pt idx="3">
                  <c:v>153.44</c:v>
                </c:pt>
              </c:numCache>
            </c:numRef>
          </c:yVal>
          <c:smooth val="0"/>
          <c:extLst>
            <c:ext xmlns:c16="http://schemas.microsoft.com/office/drawing/2014/chart" uri="{C3380CC4-5D6E-409C-BE32-E72D297353CC}">
              <c16:uniqueId val="{00000005-A898-47BA-BA33-35D813E2153B}"/>
            </c:ext>
          </c:extLst>
        </c:ser>
        <c:ser>
          <c:idx val="5"/>
          <c:order val="4"/>
          <c:tx>
            <c:v>BLK 2 MAX SCI AIR WT</c:v>
          </c:tx>
          <c:spPr>
            <a:ln w="19050" cap="rnd">
              <a:solidFill>
                <a:schemeClr val="accent4"/>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BACKGROUND'!$L$3:$L$7</c:f>
              <c:numCache>
                <c:formatCode>0.000</c:formatCode>
                <c:ptCount val="5"/>
                <c:pt idx="0">
                  <c:v>-295.2000000000001</c:v>
                </c:pt>
                <c:pt idx="1">
                  <c:v>132.04869565217393</c:v>
                </c:pt>
                <c:pt idx="2">
                  <c:v>269.44</c:v>
                </c:pt>
              </c:numCache>
            </c:numRef>
          </c:yVal>
          <c:smooth val="0"/>
          <c:extLst>
            <c:ext xmlns:c16="http://schemas.microsoft.com/office/drawing/2014/chart" uri="{C3380CC4-5D6E-409C-BE32-E72D297353CC}">
              <c16:uniqueId val="{00000006-A898-47BA-BA33-35D813E2153B}"/>
            </c:ext>
          </c:extLst>
        </c:ser>
        <c:ser>
          <c:idx val="4"/>
          <c:order val="5"/>
          <c:tx>
            <c:v>BLK 2 MAX SCI WTR WT</c:v>
          </c:tx>
          <c:spPr>
            <a:ln w="19050" cap="rnd">
              <a:solidFill>
                <a:schemeClr val="accent4"/>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BACKGROUND'!$M$3:$M$7</c:f>
              <c:numCache>
                <c:formatCode>0.000</c:formatCode>
                <c:ptCount val="5"/>
                <c:pt idx="0">
                  <c:v>269.44</c:v>
                </c:pt>
                <c:pt idx="1">
                  <c:v>269.44</c:v>
                </c:pt>
                <c:pt idx="2">
                  <c:v>269.44</c:v>
                </c:pt>
              </c:numCache>
            </c:numRef>
          </c:yVal>
          <c:smooth val="0"/>
          <c:extLst>
            <c:ext xmlns:c16="http://schemas.microsoft.com/office/drawing/2014/chart" uri="{C3380CC4-5D6E-409C-BE32-E72D297353CC}">
              <c16:uniqueId val="{00000007-A898-47BA-BA33-35D813E2153B}"/>
            </c:ext>
          </c:extLst>
        </c:ser>
        <c:ser>
          <c:idx val="7"/>
          <c:order val="6"/>
          <c:tx>
            <c:v>BLK 3 MAX SCI AIR WT</c:v>
          </c:tx>
          <c:spPr>
            <a:ln w="19050" cap="rnd">
              <a:solidFill>
                <a:srgbClr val="00B050"/>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BACKGROUND'!$P$3:$P$7</c:f>
              <c:numCache>
                <c:formatCode>0.000</c:formatCode>
                <c:ptCount val="5"/>
                <c:pt idx="0">
                  <c:v>-41.808695652174038</c:v>
                </c:pt>
                <c:pt idx="1">
                  <c:v>385.44</c:v>
                </c:pt>
              </c:numCache>
            </c:numRef>
          </c:yVal>
          <c:smooth val="0"/>
          <c:extLst>
            <c:ext xmlns:c16="http://schemas.microsoft.com/office/drawing/2014/chart" uri="{C3380CC4-5D6E-409C-BE32-E72D297353CC}">
              <c16:uniqueId val="{00000008-A898-47BA-BA33-35D813E2153B}"/>
            </c:ext>
          </c:extLst>
        </c:ser>
        <c:ser>
          <c:idx val="6"/>
          <c:order val="7"/>
          <c:tx>
            <c:v>BLK 3 MAX SCI WTR WT</c:v>
          </c:tx>
          <c:spPr>
            <a:ln w="19050" cap="rnd">
              <a:solidFill>
                <a:srgbClr val="00B050"/>
              </a:solidFill>
              <a:round/>
            </a:ln>
            <a:effectLst/>
          </c:spPr>
          <c:marker>
            <c:symbol val="none"/>
          </c:marker>
          <c:xVal>
            <c:numRef>
              <c:f>'NO TOUCH - BACKGROUND'!$A$3:$A$7</c:f>
              <c:numCache>
                <c:formatCode>0</c:formatCode>
                <c:ptCount val="5"/>
                <c:pt idx="0" formatCode="General">
                  <c:v>0</c:v>
                </c:pt>
                <c:pt idx="1">
                  <c:v>491.33600000000007</c:v>
                </c:pt>
                <c:pt idx="2">
                  <c:v>649.33600000000001</c:v>
                </c:pt>
                <c:pt idx="3">
                  <c:v>807.33600000000001</c:v>
                </c:pt>
                <c:pt idx="4">
                  <c:v>965.33600000000001</c:v>
                </c:pt>
              </c:numCache>
            </c:numRef>
          </c:xVal>
          <c:yVal>
            <c:numRef>
              <c:f>'NO TOUCH - BACKGROUND'!$Q$3:$Q$7</c:f>
              <c:numCache>
                <c:formatCode>0.000</c:formatCode>
                <c:ptCount val="5"/>
                <c:pt idx="0">
                  <c:v>385.44</c:v>
                </c:pt>
                <c:pt idx="1">
                  <c:v>385.44</c:v>
                </c:pt>
              </c:numCache>
            </c:numRef>
          </c:yVal>
          <c:smooth val="0"/>
          <c:extLst>
            <c:ext xmlns:c16="http://schemas.microsoft.com/office/drawing/2014/chart" uri="{C3380CC4-5D6E-409C-BE32-E72D297353CC}">
              <c16:uniqueId val="{00000009-A898-47BA-BA33-35D813E2153B}"/>
            </c:ext>
          </c:extLst>
        </c:ser>
        <c:ser>
          <c:idx val="8"/>
          <c:order val="8"/>
          <c:tx>
            <c:v>SCI PAYLOAD (DESCENT)</c:v>
          </c:tx>
          <c:spPr>
            <a:ln w="25400" cap="rnd">
              <a:noFill/>
              <a:round/>
            </a:ln>
            <a:effectLst/>
          </c:spPr>
          <c:marker>
            <c:symbol val="circle"/>
            <c:size val="7"/>
            <c:spPr>
              <a:solidFill>
                <a:schemeClr val="tx1"/>
              </a:solidFill>
              <a:ln w="9525">
                <a:solidFill>
                  <a:schemeClr val="tx1"/>
                </a:solidFill>
              </a:ln>
              <a:effectLst/>
            </c:spPr>
          </c:marker>
          <c:xVal>
            <c:numRef>
              <c:f>'DIVE PLANNER'!$B$4</c:f>
              <c:numCache>
                <c:formatCode>0.0</c:formatCode>
                <c:ptCount val="1"/>
                <c:pt idx="0">
                  <c:v>0</c:v>
                </c:pt>
              </c:numCache>
            </c:numRef>
          </c:xVal>
          <c:yVal>
            <c:numRef>
              <c:f>'DIVE PLANNER'!$B$5</c:f>
              <c:numCache>
                <c:formatCode>0.0</c:formatCode>
                <c:ptCount val="1"/>
                <c:pt idx="0">
                  <c:v>0</c:v>
                </c:pt>
              </c:numCache>
            </c:numRef>
          </c:yVal>
          <c:smooth val="0"/>
          <c:extLst>
            <c:ext xmlns:c16="http://schemas.microsoft.com/office/drawing/2014/chart" uri="{C3380CC4-5D6E-409C-BE32-E72D297353CC}">
              <c16:uniqueId val="{0000000A-A898-47BA-BA33-35D813E2153B}"/>
            </c:ext>
          </c:extLst>
        </c:ser>
        <c:ser>
          <c:idx val="9"/>
          <c:order val="9"/>
          <c:tx>
            <c:v>SCI PAYLOAD (ASCENT)</c:v>
          </c:tx>
          <c:spPr>
            <a:ln w="19050" cap="rnd">
              <a:noFill/>
              <a:round/>
            </a:ln>
            <a:effectLst/>
          </c:spPr>
          <c:marker>
            <c:symbol val="triangle"/>
            <c:size val="7"/>
            <c:spPr>
              <a:solidFill>
                <a:schemeClr val="bg1"/>
              </a:solidFill>
              <a:ln w="19050">
                <a:solidFill>
                  <a:schemeClr val="tx1"/>
                </a:solidFill>
              </a:ln>
              <a:effectLst/>
            </c:spPr>
          </c:marker>
          <c:xVal>
            <c:numRef>
              <c:f>'DIVE PLANNER'!$B$6</c:f>
              <c:numCache>
                <c:formatCode>0.0</c:formatCode>
                <c:ptCount val="1"/>
                <c:pt idx="0">
                  <c:v>0</c:v>
                </c:pt>
              </c:numCache>
            </c:numRef>
          </c:xVal>
          <c:yVal>
            <c:numRef>
              <c:f>'DIVE PLANNER'!$B$7</c:f>
              <c:numCache>
                <c:formatCode>0.0</c:formatCode>
                <c:ptCount val="1"/>
                <c:pt idx="0">
                  <c:v>0</c:v>
                </c:pt>
              </c:numCache>
            </c:numRef>
          </c:yVal>
          <c:smooth val="0"/>
          <c:extLst>
            <c:ext xmlns:c16="http://schemas.microsoft.com/office/drawing/2014/chart" uri="{C3380CC4-5D6E-409C-BE32-E72D297353CC}">
              <c16:uniqueId val="{00000002-F114-469E-B1FE-5BCD25122E0C}"/>
            </c:ext>
          </c:extLst>
        </c:ser>
        <c:dLbls>
          <c:showLegendKey val="0"/>
          <c:showVal val="0"/>
          <c:showCatName val="0"/>
          <c:showSerName val="0"/>
          <c:showPercent val="0"/>
          <c:showBubbleSize val="0"/>
        </c:dLbls>
        <c:axId val="1932349503"/>
        <c:axId val="1442463647"/>
      </c:scatterChart>
      <c:valAx>
        <c:axId val="1932349503"/>
        <c:scaling>
          <c:orientation val="minMax"/>
          <c:max val="1000"/>
          <c:min val="0"/>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SCI-PAYLOAD </a:t>
                </a:r>
              </a:p>
              <a:p>
                <a:pPr>
                  <a:defRPr/>
                </a:pPr>
                <a:r>
                  <a:rPr lang="en-US" sz="1000" b="0" i="0" u="none" strike="noStrike" kern="1200" baseline="0">
                    <a:solidFill>
                      <a:sysClr val="windowText" lastClr="000000">
                        <a:lumMod val="65000"/>
                        <a:lumOff val="35000"/>
                      </a:sysClr>
                    </a:solidFill>
                  </a:rPr>
                  <a:t>AIR WEIGHT (LBS-AIR)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2463647"/>
        <c:crosses val="autoZero"/>
        <c:crossBetween val="midCat"/>
      </c:valAx>
      <c:valAx>
        <c:axId val="1442463647"/>
        <c:scaling>
          <c:orientation val="minMax"/>
          <c:max val="400"/>
          <c:min val="-50"/>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u="none" strike="noStrike" kern="1200" baseline="0">
                    <a:solidFill>
                      <a:sysClr val="windowText" lastClr="000000">
                        <a:lumMod val="65000"/>
                        <a:lumOff val="35000"/>
                      </a:sysClr>
                    </a:solidFill>
                  </a:rPr>
                  <a:t>SCI-PAYLOAD</a:t>
                </a:r>
              </a:p>
              <a:p>
                <a:pPr>
                  <a:defRPr/>
                </a:pPr>
                <a:r>
                  <a:rPr lang="en-US" sz="1000" b="0" i="0" u="none" strike="noStrike" kern="1200" baseline="0">
                    <a:solidFill>
                      <a:sysClr val="windowText" lastClr="000000">
                        <a:lumMod val="65000"/>
                        <a:lumOff val="35000"/>
                      </a:sysClr>
                    </a:solidFill>
                  </a:rPr>
                  <a:t> WATER WEIGHT (LBS-SW)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32349503"/>
        <c:crosses val="autoZero"/>
        <c:crossBetween val="midCat"/>
      </c:valAx>
      <c:spPr>
        <a:noFill/>
        <a:ln>
          <a:noFill/>
        </a:ln>
        <a:effectLst/>
      </c:spPr>
    </c:plotArea>
    <c:legend>
      <c:legendPos val="b"/>
      <c:layout>
        <c:manualLayout>
          <c:xMode val="edge"/>
          <c:yMode val="edge"/>
          <c:x val="3.6128034894078793E-2"/>
          <c:y val="0.84919876910669767"/>
          <c:w val="0.92918333151957389"/>
          <c:h val="0.1131805780403108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1</xdr:col>
      <xdr:colOff>835025</xdr:colOff>
      <xdr:row>17</xdr:row>
      <xdr:rowOff>53975</xdr:rowOff>
    </xdr:from>
    <xdr:ext cx="5994399" cy="6120265"/>
    <xdr:sp macro="" textlink="">
      <xdr:nvSpPr>
        <xdr:cNvPr id="2" name="TextBox 1">
          <a:extLst>
            <a:ext uri="{FF2B5EF4-FFF2-40B4-BE49-F238E27FC236}">
              <a16:creationId xmlns:a16="http://schemas.microsoft.com/office/drawing/2014/main" id="{33ED4C8C-5FB3-9D3D-588D-2026813E5C7D}"/>
            </a:ext>
          </a:extLst>
        </xdr:cNvPr>
        <xdr:cNvSpPr txBox="1"/>
      </xdr:nvSpPr>
      <xdr:spPr>
        <a:xfrm>
          <a:off x="2911475" y="3454400"/>
          <a:ext cx="5994399" cy="612026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US" sz="1100" b="1" u="sng" kern="1200" baseline="0"/>
            <a:t>SCI GEAR LOADOUT DIRECTIONS:</a:t>
          </a:r>
        </a:p>
        <a:p>
          <a:pPr algn="ctr"/>
          <a:endParaRPr lang="en-US" sz="1100" b="1" u="sng" kern="1200" baseline="0"/>
        </a:p>
        <a:p>
          <a:pPr algn="l"/>
          <a:r>
            <a:rPr lang="en-US" sz="1100" b="1" u="none" kern="1200" baseline="0"/>
            <a:t>1. Enter Dive #, Date, and Target Depth.</a:t>
          </a:r>
        </a:p>
        <a:p>
          <a:endParaRPr lang="en-US" sz="1100" b="1" u="sng" kern="1200" baseline="0"/>
        </a:p>
        <a:p>
          <a:r>
            <a:rPr lang="en-US" sz="1100" b="1" u="sng" kern="1200" baseline="0"/>
            <a:t>SYMMETRICALLY LOADED DIVES:</a:t>
          </a:r>
        </a:p>
        <a:p>
          <a:r>
            <a:rPr lang="en-US" sz="1100" b="1" u="none" kern="1200" baseline="0"/>
            <a:t>1. In the Descent Table, </a:t>
          </a:r>
          <a:r>
            <a:rPr lang="en-US" sz="1100" b="1" baseline="0">
              <a:solidFill>
                <a:schemeClr val="dk1"/>
              </a:solidFill>
              <a:effectLst/>
              <a:latin typeface="+mn-lt"/>
              <a:ea typeface="+mn-ea"/>
              <a:cs typeface="+mn-cs"/>
            </a:rPr>
            <a:t>select/enter Sci Gear Air Weight, Water Weight, and Quantity.</a:t>
          </a:r>
          <a:endParaRPr lang="en-US" sz="1100" b="1" u="none" kern="1200" baseline="0"/>
        </a:p>
        <a:p>
          <a:r>
            <a:rPr lang="en-US" sz="1100" b="1" u="none" kern="1200" baseline="0"/>
            <a:t>2. In the Ascent Table, </a:t>
          </a:r>
          <a:r>
            <a:rPr lang="en-US" sz="1100" b="1" baseline="0">
              <a:solidFill>
                <a:schemeClr val="dk1"/>
              </a:solidFill>
              <a:effectLst/>
              <a:latin typeface="+mn-lt"/>
              <a:ea typeface="+mn-ea"/>
              <a:cs typeface="+mn-cs"/>
            </a:rPr>
            <a:t>copy/enter all sci gear from the Descent Table </a:t>
          </a:r>
          <a:r>
            <a:rPr lang="en-US" sz="1100" b="1" u="none" kern="1200" baseline="0"/>
            <a:t>ensuring both final sums are equal.</a:t>
          </a:r>
        </a:p>
        <a:p>
          <a:r>
            <a:rPr lang="en-US" sz="1100" b="1" u="none" kern="1200" baseline="0"/>
            <a:t>3. Proceed to Dive Planner Sheet.</a:t>
          </a:r>
        </a:p>
        <a:p>
          <a:endParaRPr lang="en-US" sz="1100" b="1" u="sng" kern="1200" baseline="0"/>
        </a:p>
        <a:p>
          <a:r>
            <a:rPr lang="en-US" sz="1100" b="1" u="sng" kern="1200" baseline="0"/>
            <a:t>ASYMMETRICALLY LOADED DIVES:</a:t>
          </a:r>
        </a:p>
        <a:p>
          <a:r>
            <a:rPr lang="en-US" sz="1100" b="1" u="none" kern="1200" baseline="0"/>
            <a:t>COLLECTIONS SUBSEA:</a:t>
          </a:r>
        </a:p>
        <a:p>
          <a:pPr marL="0" marR="0" lvl="0" indent="0" defTabSz="914400" eaLnBrk="1" fontAlgn="auto" latinLnBrk="0" hangingPunct="1">
            <a:lnSpc>
              <a:spcPct val="100000"/>
            </a:lnSpc>
            <a:spcBef>
              <a:spcPts val="0"/>
            </a:spcBef>
            <a:spcAft>
              <a:spcPts val="0"/>
            </a:spcAft>
            <a:buClrTx/>
            <a:buSzTx/>
            <a:buFontTx/>
            <a:buNone/>
            <a:tabLst/>
            <a:defRPr/>
          </a:pPr>
          <a:r>
            <a:rPr lang="en-US" sz="1100" b="1" kern="1200" baseline="0"/>
            <a:t>1.</a:t>
          </a:r>
          <a:r>
            <a:rPr lang="en-US" sz="1100" b="1" baseline="0">
              <a:solidFill>
                <a:schemeClr val="dk1"/>
              </a:solidFill>
              <a:effectLst/>
              <a:latin typeface="+mn-lt"/>
              <a:ea typeface="+mn-ea"/>
              <a:cs typeface="+mn-cs"/>
            </a:rPr>
            <a:t> In the Descent Table, select "Pitch Plate" and adjust the quantity to match the subsea collection's expected water weight as closely as possible.</a:t>
          </a:r>
          <a:endParaRPr lang="en-US">
            <a:effectLst/>
          </a:endParaRPr>
        </a:p>
        <a:p>
          <a:r>
            <a:rPr lang="en-US" sz="1100" b="1" kern="1200" baseline="0"/>
            <a:t>2. In the Ascent Table, enter the expected water weight of subsea collection. </a:t>
          </a:r>
          <a:r>
            <a:rPr lang="en-US" sz="1100" b="1" kern="0" baseline="0">
              <a:solidFill>
                <a:schemeClr val="dk1"/>
              </a:solidFill>
              <a:effectLst/>
              <a:latin typeface="+mn-lt"/>
              <a:ea typeface="+mn-ea"/>
              <a:cs typeface="+mn-cs"/>
            </a:rPr>
            <a:t>E</a:t>
          </a:r>
          <a:r>
            <a:rPr lang="en-US" sz="1100" b="1" baseline="0">
              <a:solidFill>
                <a:schemeClr val="dk1"/>
              </a:solidFill>
              <a:effectLst/>
              <a:latin typeface="+mn-lt"/>
              <a:ea typeface="+mn-ea"/>
              <a:cs typeface="+mn-cs"/>
            </a:rPr>
            <a:t>nsure both final sum water weights are equal.</a:t>
          </a:r>
          <a:endParaRPr lang="en-US" sz="1100" b="1" kern="1200" baseline="0"/>
        </a:p>
        <a:p>
          <a:r>
            <a:rPr lang="en-US" sz="1100" b="1" baseline="0">
              <a:solidFill>
                <a:schemeClr val="dk1"/>
              </a:solidFill>
              <a:effectLst/>
              <a:latin typeface="+mn-lt"/>
              <a:ea typeface="+mn-ea"/>
              <a:cs typeface="+mn-cs"/>
            </a:rPr>
            <a:t>3. Proceed to the Dive Planner Sheet.</a:t>
          </a:r>
        </a:p>
        <a:p>
          <a:r>
            <a:rPr lang="en-US" sz="1100" b="1" i="1" baseline="0">
              <a:solidFill>
                <a:schemeClr val="dk1"/>
              </a:solidFill>
              <a:effectLst/>
              <a:latin typeface="+mn-lt"/>
              <a:ea typeface="+mn-ea"/>
              <a:cs typeface="+mn-cs"/>
            </a:rPr>
            <a:t>NOTE: Pitch Plates should be removed subsea only after collection is placed in elevator.</a:t>
          </a:r>
        </a:p>
        <a:p>
          <a:endParaRPr lang="en-US" sz="1100" b="1" kern="1200" baseline="0"/>
        </a:p>
        <a:p>
          <a:r>
            <a:rPr lang="en-US" sz="1100" b="1" baseline="0">
              <a:solidFill>
                <a:schemeClr val="dk1"/>
              </a:solidFill>
              <a:effectLst/>
              <a:latin typeface="+mn-lt"/>
              <a:ea typeface="+mn-ea"/>
              <a:cs typeface="+mn-cs"/>
            </a:rPr>
            <a:t>DEPLOYMENTS SUBSEA:</a:t>
          </a:r>
        </a:p>
        <a:p>
          <a:r>
            <a:rPr lang="en-US" sz="1100" b="1" baseline="0">
              <a:solidFill>
                <a:schemeClr val="dk1"/>
              </a:solidFill>
              <a:effectLst/>
              <a:latin typeface="+mn-lt"/>
              <a:ea typeface="+mn-ea"/>
              <a:cs typeface="+mn-cs"/>
            </a:rPr>
            <a:t>1. In the Descent Table, select/enter Sci Gear Air Weight, Water Weight, and Quantity.</a:t>
          </a:r>
          <a:endParaRPr lang="en-US">
            <a:effectLst/>
          </a:endParaRPr>
        </a:p>
        <a:p>
          <a:r>
            <a:rPr lang="en-US" sz="1100" b="1" baseline="0">
              <a:solidFill>
                <a:schemeClr val="dk1"/>
              </a:solidFill>
              <a:effectLst/>
              <a:latin typeface="+mn-lt"/>
              <a:ea typeface="+mn-ea"/>
              <a:cs typeface="+mn-cs"/>
            </a:rPr>
            <a:t>2. In the Ascent Table, copy/enter all sci gear returning with the elevator from the Descent Table.</a:t>
          </a:r>
        </a:p>
        <a:p>
          <a:r>
            <a:rPr lang="en-US" sz="1100" b="1" baseline="0">
              <a:solidFill>
                <a:schemeClr val="dk1"/>
              </a:solidFill>
              <a:effectLst/>
              <a:latin typeface="+mn-lt"/>
              <a:ea typeface="+mn-ea"/>
              <a:cs typeface="+mn-cs"/>
            </a:rPr>
            <a:t>3. In the Dive Planner Sheet, add the Sci Gear Water Wt difference (</a:t>
          </a:r>
          <a:r>
            <a:rPr lang="el-GR" sz="1100" b="1" baseline="0">
              <a:solidFill>
                <a:schemeClr val="dk1"/>
              </a:solidFill>
              <a:effectLst/>
              <a:latin typeface="+mn-lt"/>
              <a:ea typeface="+mn-ea"/>
              <a:cs typeface="+mn-cs"/>
            </a:rPr>
            <a:t>Δ</a:t>
          </a:r>
          <a:r>
            <a:rPr lang="en-US" sz="1100" b="1" baseline="0">
              <a:solidFill>
                <a:schemeClr val="dk1"/>
              </a:solidFill>
              <a:effectLst/>
              <a:latin typeface="+mn-lt"/>
              <a:ea typeface="+mn-ea"/>
              <a:cs typeface="+mn-cs"/>
            </a:rPr>
            <a:t>) to the Target Ascent Wt. (Example: </a:t>
          </a:r>
          <a:r>
            <a:rPr lang="el-GR" sz="1100" b="1" baseline="0">
              <a:solidFill>
                <a:schemeClr val="dk1"/>
              </a:solidFill>
              <a:effectLst/>
              <a:latin typeface="+mn-lt"/>
              <a:ea typeface="+mn-ea"/>
              <a:cs typeface="+mn-cs"/>
            </a:rPr>
            <a:t>Δ</a:t>
          </a:r>
          <a:r>
            <a:rPr lang="en-US" sz="1100" b="1" baseline="0">
              <a:solidFill>
                <a:schemeClr val="dk1"/>
              </a:solidFill>
              <a:effectLst/>
              <a:latin typeface="+mn-lt"/>
              <a:ea typeface="+mn-ea"/>
              <a:cs typeface="+mn-cs"/>
            </a:rPr>
            <a:t> = -32, so set Target Ascent Wt = -132)</a:t>
          </a:r>
        </a:p>
        <a:p>
          <a:pPr marL="0" marR="0" lvl="0" indent="0" defTabSz="91440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NOTE: Expect Actual Descent Wt to be greater than Target Descent Wt. This process reallocates Margin Steel to the Ascent Stack so the elevator can still return to surface if the sci gear cannot be deployed.</a:t>
          </a: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b="1" baseline="0">
            <a:effectLst/>
          </a:endParaRPr>
        </a:p>
        <a:p>
          <a:r>
            <a:rPr lang="en-US" b="1" u="sng" baseline="0">
              <a:effectLst/>
            </a:rPr>
            <a:t>SUBSEA ORDER OF OPS:</a:t>
          </a:r>
        </a:p>
        <a:p>
          <a:r>
            <a:rPr lang="en-US" b="1" baseline="0">
              <a:effectLst/>
            </a:rPr>
            <a:t>1. DEPLOY SCI GEAR</a:t>
          </a:r>
        </a:p>
        <a:p>
          <a:r>
            <a:rPr lang="en-US" b="1" baseline="0">
              <a:effectLst/>
            </a:rPr>
            <a:t>2. RELEASE DESCENT WT TO CARRY ELEVATOR</a:t>
          </a:r>
        </a:p>
        <a:p>
          <a:r>
            <a:rPr lang="en-US" b="1" baseline="0">
              <a:effectLst/>
            </a:rPr>
            <a:t>3. RELEASE ASCENT WT TO SURFACE ELEVATOR</a:t>
          </a:r>
        </a:p>
        <a:p>
          <a:r>
            <a:rPr lang="en-US" b="1" i="1" baseline="0">
              <a:effectLst/>
            </a:rPr>
            <a:t>COLLECTIONS CAN OCCUR ANYTIME AS LONG AS YOU ADD COLLECTION BEFORE REMOVING PITCH PLATES. WILL NOT RELIABLY ACHIEVE DESIRED TARGET CARRY WEIGHT IF YOU HAVEN'T DEPLOYED FIRST.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469900</xdr:colOff>
      <xdr:row>1</xdr:row>
      <xdr:rowOff>40278</xdr:rowOff>
    </xdr:from>
    <xdr:to>
      <xdr:col>10</xdr:col>
      <xdr:colOff>785397</xdr:colOff>
      <xdr:row>28</xdr:row>
      <xdr:rowOff>97907</xdr:rowOff>
    </xdr:to>
    <xdr:graphicFrame macro="">
      <xdr:nvGraphicFramePr>
        <xdr:cNvPr id="2" name="Chart 1">
          <a:extLst>
            <a:ext uri="{FF2B5EF4-FFF2-40B4-BE49-F238E27FC236}">
              <a16:creationId xmlns:a16="http://schemas.microsoft.com/office/drawing/2014/main" id="{9FE1F502-BAA3-431F-A4A8-110D66CAC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9</xdr:col>
      <xdr:colOff>111493</xdr:colOff>
      <xdr:row>1</xdr:row>
      <xdr:rowOff>12287</xdr:rowOff>
    </xdr:from>
    <xdr:ext cx="6324232" cy="3364639"/>
    <xdr:sp macro="" textlink="">
      <xdr:nvSpPr>
        <xdr:cNvPr id="3" name="TextBox 2">
          <a:extLst>
            <a:ext uri="{FF2B5EF4-FFF2-40B4-BE49-F238E27FC236}">
              <a16:creationId xmlns:a16="http://schemas.microsoft.com/office/drawing/2014/main" id="{260F4C11-E954-41E4-BE3C-B94495788603}"/>
            </a:ext>
          </a:extLst>
        </xdr:cNvPr>
        <xdr:cNvSpPr txBox="1"/>
      </xdr:nvSpPr>
      <xdr:spPr>
        <a:xfrm>
          <a:off x="12217768" y="212312"/>
          <a:ext cx="6324232" cy="33646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US" sz="1100" b="1" u="sng" kern="1200" baseline="0"/>
            <a:t>6500 ELEVATOR DIVE PLANNER DIRECTIONS:</a:t>
          </a:r>
        </a:p>
        <a:p>
          <a:endParaRPr lang="en-US" sz="1100" b="1" kern="1200" baseline="0"/>
        </a:p>
        <a:p>
          <a:r>
            <a:rPr lang="en-US" sz="1100" b="1" kern="1200" baseline="0"/>
            <a:t>1. Enter Target Descent, Ascent, and Carry Weights. </a:t>
          </a:r>
          <a:r>
            <a:rPr lang="en-US" sz="1100" b="1" baseline="0">
              <a:solidFill>
                <a:schemeClr val="dk1"/>
              </a:solidFill>
              <a:effectLst/>
              <a:latin typeface="+mn-lt"/>
              <a:ea typeface="+mn-ea"/>
              <a:cs typeface="+mn-cs"/>
            </a:rPr>
            <a:t>If deploying gear, add the Sci Gear Water Wt Difference (</a:t>
          </a:r>
          <a:r>
            <a:rPr lang="el-GR" sz="1100" b="1" baseline="0">
              <a:solidFill>
                <a:schemeClr val="dk1"/>
              </a:solidFill>
              <a:effectLst/>
              <a:latin typeface="+mn-lt"/>
              <a:ea typeface="+mn-ea"/>
              <a:cs typeface="+mn-cs"/>
            </a:rPr>
            <a:t>Δ</a:t>
          </a:r>
          <a:r>
            <a:rPr lang="en-US" sz="1100" b="1" baseline="0">
              <a:solidFill>
                <a:schemeClr val="dk1"/>
              </a:solidFill>
              <a:effectLst/>
              <a:latin typeface="+mn-lt"/>
              <a:ea typeface="+mn-ea"/>
              <a:cs typeface="+mn-cs"/>
            </a:rPr>
            <a:t>) to the Target Ascent Wt. (Example: </a:t>
          </a:r>
          <a:r>
            <a:rPr lang="el-GR" sz="1100" b="1" baseline="0">
              <a:solidFill>
                <a:schemeClr val="dk1"/>
              </a:solidFill>
              <a:effectLst/>
              <a:latin typeface="+mn-lt"/>
              <a:ea typeface="+mn-ea"/>
              <a:cs typeface="+mn-cs"/>
            </a:rPr>
            <a:t>Δ</a:t>
          </a:r>
          <a:r>
            <a:rPr lang="en-US" sz="1100" b="1" baseline="0">
              <a:solidFill>
                <a:schemeClr val="dk1"/>
              </a:solidFill>
              <a:effectLst/>
              <a:latin typeface="+mn-lt"/>
              <a:ea typeface="+mn-ea"/>
              <a:cs typeface="+mn-cs"/>
            </a:rPr>
            <a:t> = -32, so set Target Ascent Wt = -132)</a:t>
          </a:r>
        </a:p>
        <a:p>
          <a:pPr marL="0" marR="0" lvl="0" indent="0" defTabSz="914400" eaLnBrk="1" fontAlgn="auto" latinLnBrk="0" hangingPunct="1">
            <a:lnSpc>
              <a:spcPct val="100000"/>
            </a:lnSpc>
            <a:spcBef>
              <a:spcPts val="0"/>
            </a:spcBef>
            <a:spcAft>
              <a:spcPts val="0"/>
            </a:spcAft>
            <a:buClrTx/>
            <a:buSzTx/>
            <a:buFontTx/>
            <a:buNone/>
            <a:tabLst/>
            <a:defRPr/>
          </a:pPr>
          <a:r>
            <a:rPr lang="en-US" sz="1100" b="1" i="1" baseline="0">
              <a:solidFill>
                <a:schemeClr val="dk1"/>
              </a:solidFill>
              <a:effectLst/>
              <a:latin typeface="+mn-lt"/>
              <a:ea typeface="+mn-ea"/>
              <a:cs typeface="+mn-cs"/>
            </a:rPr>
            <a:t>NOTE: Expect Actual Descent Wt to be greater than Target Descent Wt. This process reallocates Margin Steel to the Ascent Stack so the elevator can still return to surface if the sci gear cannot be deployed.</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2. Select 4500m or 6500m versions of tracking equipment installed.</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3. Select lowest Margin Foam Block # without receiving errors. Use Sci Payload Limits Chart to aid. Chart displays initial and final sci gear loadouts into appropriate Margin Foam Block # range.</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4. Check all outputs to ensure setup is as desired.</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5. Note the Estimated Descent/Ascent Speeds/Times.</a:t>
          </a:r>
        </a:p>
        <a:p>
          <a:pPr marL="0" marR="0" lvl="0" indent="0" defTabSz="914400" eaLnBrk="1" fontAlgn="auto" latinLnBrk="0" hangingPunct="1">
            <a:lnSpc>
              <a:spcPct val="100000"/>
            </a:lnSpc>
            <a:spcBef>
              <a:spcPts val="0"/>
            </a:spcBef>
            <a:spcAft>
              <a:spcPts val="0"/>
            </a:spcAft>
            <a:buClrTx/>
            <a:buSzTx/>
            <a:buFontTx/>
            <a:buNone/>
            <a:tabLst/>
            <a:defRPr/>
          </a:pPr>
          <a:r>
            <a:rPr lang="en-US" sz="1100" b="1" i="0" baseline="0">
              <a:solidFill>
                <a:schemeClr val="dk1"/>
              </a:solidFill>
              <a:effectLst/>
              <a:latin typeface="+mn-lt"/>
              <a:ea typeface="+mn-ea"/>
              <a:cs typeface="+mn-cs"/>
            </a:rPr>
            <a:t>6. Save/print the Sci Gear Loadout and Dive Planner Sheets.</a:t>
          </a:r>
          <a:endParaRPr lang="en-US"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b="1" baseline="0">
            <a:effectLst/>
          </a:endParaRPr>
        </a:p>
        <a:p>
          <a:r>
            <a:rPr lang="en-US" b="1" u="sng" baseline="0">
              <a:effectLst/>
            </a:rPr>
            <a:t>SUBSEA ORDER OF OPS:</a:t>
          </a:r>
        </a:p>
        <a:p>
          <a:r>
            <a:rPr lang="en-US" b="1" baseline="0">
              <a:effectLst/>
            </a:rPr>
            <a:t>1. DEPLOY SCI GEAR</a:t>
          </a:r>
        </a:p>
        <a:p>
          <a:r>
            <a:rPr lang="en-US" b="1" baseline="0">
              <a:effectLst/>
            </a:rPr>
            <a:t>2. RELEASE DESCENT WT TO CARRY ELEVATOR</a:t>
          </a:r>
        </a:p>
        <a:p>
          <a:r>
            <a:rPr lang="en-US" b="1" baseline="0">
              <a:effectLst/>
            </a:rPr>
            <a:t>3. RELEASE ASCENT WT TO SURFACE ELEVATOR</a:t>
          </a:r>
        </a:p>
        <a:p>
          <a:r>
            <a:rPr lang="en-US" b="1" i="1" baseline="0">
              <a:effectLst/>
            </a:rPr>
            <a:t>COLLECTIONS CAN OCCUR ANYTIME AS LONG AS YOU ADD COLLECTION BEFORE REMOVING PITCH PLATES. WILL NOT RELIABLY ACHIEVE DESIRED TARGET CARRY WEIGHT IF YOU HAVEN'T DEPLOYED FIRST.</a:t>
          </a:r>
          <a:endParaRPr lang="en-US" b="1" i="1">
            <a:effectLst/>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209551</xdr:colOff>
      <xdr:row>34</xdr:row>
      <xdr:rowOff>120650</xdr:rowOff>
    </xdr:from>
    <xdr:ext cx="3467099" cy="1981200"/>
    <xdr:sp macro="" textlink="">
      <xdr:nvSpPr>
        <xdr:cNvPr id="2" name="TextBox 1">
          <a:extLst>
            <a:ext uri="{FF2B5EF4-FFF2-40B4-BE49-F238E27FC236}">
              <a16:creationId xmlns:a16="http://schemas.microsoft.com/office/drawing/2014/main" id="{3B0306FE-4BA6-48BE-B8B6-00ADF3BDD393}"/>
            </a:ext>
          </a:extLst>
        </xdr:cNvPr>
        <xdr:cNvSpPr txBox="1"/>
      </xdr:nvSpPr>
      <xdr:spPr>
        <a:xfrm>
          <a:off x="4800601" y="9026525"/>
          <a:ext cx="3467099" cy="1981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sz="1100" b="1" i="0" u="none" strike="noStrike">
              <a:solidFill>
                <a:schemeClr val="dk1"/>
              </a:solidFill>
              <a:effectLst/>
              <a:latin typeface="+mn-lt"/>
              <a:ea typeface="+mn-ea"/>
              <a:cs typeface="+mn-cs"/>
            </a:rPr>
            <a:t>SW</a:t>
          </a:r>
          <a:r>
            <a:rPr lang="en-US" sz="1100" b="1" i="0" u="none" strike="noStrike" baseline="0">
              <a:solidFill>
                <a:schemeClr val="dk1"/>
              </a:solidFill>
              <a:effectLst/>
              <a:latin typeface="+mn-lt"/>
              <a:ea typeface="+mn-ea"/>
              <a:cs typeface="+mn-cs"/>
            </a:rPr>
            <a:t> DENSITY &amp; PRESSURE CALC </a:t>
          </a:r>
          <a:r>
            <a:rPr lang="en-US" sz="1100" b="1" i="0" u="none" strike="noStrike">
              <a:solidFill>
                <a:schemeClr val="dk1"/>
              </a:solidFill>
              <a:effectLst/>
              <a:latin typeface="+mn-lt"/>
              <a:ea typeface="+mn-ea"/>
              <a:cs typeface="+mn-cs"/>
            </a:rPr>
            <a:t>REFERENCES:</a:t>
          </a:r>
        </a:p>
        <a:p>
          <a:r>
            <a:rPr lang="en-US" sz="1100" b="1" i="0" u="none" strike="noStrike">
              <a:solidFill>
                <a:schemeClr val="dk1"/>
              </a:solidFill>
              <a:effectLst/>
              <a:latin typeface="+mn-lt"/>
              <a:ea typeface="+mn-ea"/>
              <a:cs typeface="+mn-cs"/>
            </a:rPr>
            <a:t>1. TENTH REPORT OF THE JOINT PANEL ON OCEANOGRAPHIC TABLES &amp; STANDARDS, UNESCO 1980</a:t>
          </a:r>
        </a:p>
        <a:p>
          <a:r>
            <a:rPr lang="en-US" sz="1100" b="1" i="0" u="none" strike="noStrike" kern="1200">
              <a:solidFill>
                <a:schemeClr val="dk1"/>
              </a:solidFill>
              <a:effectLst/>
              <a:latin typeface="+mn-lt"/>
              <a:ea typeface="+mn-ea"/>
              <a:cs typeface="+mn-cs"/>
            </a:rPr>
            <a:t>2.</a:t>
          </a:r>
          <a:r>
            <a:rPr lang="en-US" sz="1100" b="1" i="0" u="none" strike="noStrike" kern="1200" baseline="0">
              <a:solidFill>
                <a:schemeClr val="dk1"/>
              </a:solidFill>
              <a:effectLst/>
              <a:latin typeface="+mn-lt"/>
              <a:ea typeface="+mn-ea"/>
              <a:cs typeface="+mn-cs"/>
            </a:rPr>
            <a:t> SWRI REPORT NO. 18.11975-1</a:t>
          </a:r>
        </a:p>
        <a:p>
          <a:endParaRPr lang="en-US" sz="1100" b="1" i="0" u="none" strike="noStrike" kern="1200" baseline="0">
            <a:solidFill>
              <a:schemeClr val="dk1"/>
            </a:solidFill>
            <a:effectLst/>
            <a:latin typeface="+mn-lt"/>
            <a:ea typeface="+mn-ea"/>
            <a:cs typeface="+mn-cs"/>
          </a:endParaRPr>
        </a:p>
        <a:p>
          <a:r>
            <a:rPr lang="en-US" sz="1100" b="1" i="1" u="none" strike="noStrike" kern="1200" baseline="0">
              <a:solidFill>
                <a:schemeClr val="dk1"/>
              </a:solidFill>
              <a:effectLst/>
              <a:latin typeface="+mn-lt"/>
              <a:ea typeface="+mn-ea"/>
              <a:cs typeface="+mn-cs"/>
            </a:rPr>
            <a:t>NOTES:</a:t>
          </a:r>
        </a:p>
        <a:p>
          <a:r>
            <a:rPr lang="en-US" sz="1100" b="1" i="1" kern="1200"/>
            <a:t>1. Salinity and Temperature values represent what is typical for the</a:t>
          </a:r>
          <a:r>
            <a:rPr lang="en-US" sz="1100" b="1" i="1" kern="1200" baseline="0"/>
            <a:t> conditions</a:t>
          </a:r>
          <a:r>
            <a:rPr lang="en-US" sz="1100" b="1" i="1" kern="1200"/>
            <a:t> the elevator will experience and what is</a:t>
          </a:r>
          <a:r>
            <a:rPr lang="en-US" sz="1100" b="1" i="1" kern="1200" baseline="0"/>
            <a:t> typical for industry related calculations</a:t>
          </a:r>
          <a:r>
            <a:rPr lang="en-US" sz="1100" b="1" i="1" kern="1200"/>
            <a:t>.</a:t>
          </a:r>
        </a:p>
        <a:p>
          <a:r>
            <a:rPr lang="en-US" sz="1100" b="1" i="1" kern="1200"/>
            <a:t>2. Depth</a:t>
          </a:r>
          <a:r>
            <a:rPr lang="en-US" sz="1100" b="1" i="1" kern="1200" baseline="0"/>
            <a:t>-Pressure conversion uses 2nd-order polynomial fit of Fofonoff Equation in Ref 2 (R^2 = 1).</a:t>
          </a:r>
          <a:endParaRPr lang="en-US" sz="1100" b="1" i="1" kern="12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BC780-87F7-4053-A70A-0D1BE0B87FC8}">
  <dimension ref="A1:N23"/>
  <sheetViews>
    <sheetView workbookViewId="0">
      <selection activeCell="J38" sqref="J38"/>
    </sheetView>
  </sheetViews>
  <sheetFormatPr defaultColWidth="9.140625" defaultRowHeight="15.75" x14ac:dyDescent="0.25"/>
  <cols>
    <col min="1" max="1" width="29.7109375" style="86" bestFit="1" customWidth="1"/>
    <col min="2" max="2" width="13.140625" style="15" bestFit="1" customWidth="1"/>
    <col min="3" max="3" width="16.85546875" style="73" bestFit="1" customWidth="1"/>
    <col min="4" max="4" width="4.5703125" style="73" bestFit="1" customWidth="1"/>
    <col min="5" max="5" width="12" style="78" bestFit="1" customWidth="1"/>
    <col min="6" max="6" width="15.85546875" style="79" bestFit="1" customWidth="1"/>
    <col min="7" max="7" width="8.42578125" style="117" customWidth="1"/>
    <col min="8" max="8" width="24" style="16" bestFit="1" customWidth="1"/>
    <col min="9" max="9" width="13.140625" style="15" bestFit="1" customWidth="1"/>
    <col min="10" max="10" width="16.85546875" style="73" bestFit="1" customWidth="1"/>
    <col min="11" max="11" width="4.5703125" style="73" bestFit="1" customWidth="1"/>
    <col min="12" max="12" width="12" style="78" bestFit="1" customWidth="1"/>
    <col min="13" max="13" width="15.85546875" style="79" bestFit="1" customWidth="1"/>
    <col min="14" max="16384" width="9.140625" style="12"/>
  </cols>
  <sheetData>
    <row r="1" spans="1:14" x14ac:dyDescent="0.25">
      <c r="A1" s="18" t="s">
        <v>124</v>
      </c>
      <c r="C1" s="15"/>
      <c r="D1" s="15"/>
      <c r="E1" s="12"/>
      <c r="F1" s="12"/>
      <c r="G1" s="12"/>
      <c r="H1" s="12"/>
      <c r="I1" s="12"/>
      <c r="J1" s="12"/>
      <c r="K1" s="12"/>
      <c r="L1" s="12"/>
      <c r="M1" s="12"/>
    </row>
    <row r="2" spans="1:14" x14ac:dyDescent="0.25">
      <c r="A2" s="19" t="s">
        <v>139</v>
      </c>
      <c r="B2" s="83" t="s">
        <v>42</v>
      </c>
      <c r="C2" s="12"/>
      <c r="D2" s="12"/>
      <c r="E2" s="12"/>
      <c r="F2" s="12"/>
      <c r="G2" s="12"/>
      <c r="H2" s="12"/>
      <c r="I2" s="12"/>
      <c r="J2" s="12"/>
      <c r="K2" s="12"/>
      <c r="L2" s="12"/>
      <c r="M2" s="12"/>
    </row>
    <row r="3" spans="1:14" x14ac:dyDescent="0.25">
      <c r="A3" s="19" t="s">
        <v>43</v>
      </c>
      <c r="B3" s="84">
        <v>45681</v>
      </c>
      <c r="C3" s="76"/>
      <c r="D3" s="20"/>
      <c r="E3" s="76"/>
      <c r="F3" s="20"/>
      <c r="G3" s="20"/>
      <c r="H3" s="12"/>
      <c r="I3" s="12"/>
      <c r="J3" s="12"/>
      <c r="K3" s="12"/>
      <c r="L3" s="12"/>
      <c r="M3" s="12"/>
    </row>
    <row r="4" spans="1:14" x14ac:dyDescent="0.25">
      <c r="A4" s="19" t="s">
        <v>130</v>
      </c>
      <c r="B4" s="83">
        <v>6500</v>
      </c>
      <c r="C4" s="76"/>
      <c r="D4" s="20"/>
      <c r="E4" s="76"/>
      <c r="F4" s="20"/>
      <c r="G4" s="20"/>
      <c r="H4" s="12"/>
      <c r="I4" s="12"/>
      <c r="J4" s="12"/>
      <c r="K4" s="12"/>
      <c r="L4" s="12"/>
      <c r="M4" s="12"/>
    </row>
    <row r="5" spans="1:14" x14ac:dyDescent="0.25">
      <c r="A5" s="119"/>
      <c r="B5" s="20"/>
      <c r="C5" s="76"/>
      <c r="D5" s="20"/>
      <c r="E5" s="76"/>
      <c r="F5" s="114"/>
      <c r="G5" s="118" t="s">
        <v>145</v>
      </c>
      <c r="H5" s="17"/>
      <c r="I5" s="20"/>
      <c r="J5" s="76"/>
      <c r="K5" s="20"/>
      <c r="L5" s="76"/>
      <c r="M5" s="20"/>
    </row>
    <row r="6" spans="1:14" s="17" customFormat="1" x14ac:dyDescent="0.25">
      <c r="A6" s="18" t="s">
        <v>146</v>
      </c>
      <c r="B6" s="18"/>
      <c r="C6" s="18"/>
      <c r="D6" s="77"/>
      <c r="E6" s="23">
        <f>SUBTOTAL(109,E9:E198)</f>
        <v>0</v>
      </c>
      <c r="F6" s="88">
        <f>SUBTOTAL(109,F9:F198)</f>
        <v>0</v>
      </c>
      <c r="G6" s="122">
        <f>$M$6-$F$6</f>
        <v>0</v>
      </c>
      <c r="H6" s="77" t="s">
        <v>147</v>
      </c>
      <c r="I6" s="18"/>
      <c r="J6" s="18"/>
      <c r="K6" s="77"/>
      <c r="L6" s="23">
        <f>SUBTOTAL(109,L9:L198)</f>
        <v>0</v>
      </c>
      <c r="M6" s="23">
        <f>SUBTOTAL(109,M9:M198)</f>
        <v>0</v>
      </c>
    </row>
    <row r="7" spans="1:14" s="17" customFormat="1" x14ac:dyDescent="0.25">
      <c r="A7" s="18" t="s">
        <v>33</v>
      </c>
      <c r="B7" s="18" t="s">
        <v>37</v>
      </c>
      <c r="C7" s="18" t="s">
        <v>38</v>
      </c>
      <c r="D7" s="71" t="s">
        <v>34</v>
      </c>
      <c r="E7" s="71" t="s">
        <v>39</v>
      </c>
      <c r="F7" s="18" t="s">
        <v>40</v>
      </c>
      <c r="G7" s="18"/>
      <c r="H7" s="71" t="s">
        <v>33</v>
      </c>
      <c r="I7" s="18" t="s">
        <v>37</v>
      </c>
      <c r="J7" s="18" t="s">
        <v>38</v>
      </c>
      <c r="K7" s="71" t="s">
        <v>34</v>
      </c>
      <c r="L7" s="71" t="s">
        <v>39</v>
      </c>
      <c r="M7" s="18" t="s">
        <v>40</v>
      </c>
    </row>
    <row r="8" spans="1:14" s="15" customFormat="1" x14ac:dyDescent="0.25">
      <c r="A8" s="82" t="s">
        <v>131</v>
      </c>
      <c r="B8" s="21" t="s">
        <v>35</v>
      </c>
      <c r="C8" s="22" t="s">
        <v>13</v>
      </c>
      <c r="D8" s="72" t="s">
        <v>11</v>
      </c>
      <c r="E8" s="72" t="s">
        <v>35</v>
      </c>
      <c r="F8" s="22" t="s">
        <v>44</v>
      </c>
      <c r="G8" s="115"/>
      <c r="H8" s="85" t="s">
        <v>138</v>
      </c>
      <c r="I8" s="21" t="s">
        <v>35</v>
      </c>
      <c r="J8" s="22" t="s">
        <v>13</v>
      </c>
      <c r="K8" s="72" t="s">
        <v>11</v>
      </c>
      <c r="L8" s="72" t="s">
        <v>35</v>
      </c>
      <c r="M8" s="22" t="s">
        <v>44</v>
      </c>
    </row>
    <row r="9" spans="1:14" x14ac:dyDescent="0.25">
      <c r="A9" s="86" t="s">
        <v>36</v>
      </c>
      <c r="B9" s="70">
        <v>18</v>
      </c>
      <c r="C9" s="75">
        <v>10</v>
      </c>
      <c r="D9" s="73">
        <v>0</v>
      </c>
      <c r="E9" s="80">
        <f>$D9*$B9</f>
        <v>0</v>
      </c>
      <c r="F9" s="81">
        <f>$D9*$C9</f>
        <v>0</v>
      </c>
      <c r="G9" s="116"/>
      <c r="H9" s="16" t="s">
        <v>36</v>
      </c>
      <c r="I9" s="70">
        <v>18</v>
      </c>
      <c r="J9" s="75">
        <v>10</v>
      </c>
      <c r="K9" s="73">
        <v>0</v>
      </c>
      <c r="L9" s="80">
        <f>$K9*$I9</f>
        <v>0</v>
      </c>
      <c r="M9" s="81">
        <f>$K9*$J9</f>
        <v>0</v>
      </c>
    </row>
    <row r="10" spans="1:14" x14ac:dyDescent="0.25">
      <c r="A10" s="86" t="s">
        <v>148</v>
      </c>
      <c r="B10" s="70">
        <f>'NO TOUCH - BACKGROUND'!$B$23</f>
        <v>18.399999999999999</v>
      </c>
      <c r="C10" s="75">
        <f>'NO TOUCH - BACKGROUND'!$C$23</f>
        <v>16</v>
      </c>
      <c r="D10" s="73">
        <v>0</v>
      </c>
      <c r="E10" s="80">
        <f>$D10*$B10</f>
        <v>0</v>
      </c>
      <c r="F10" s="81">
        <f>$D10*$C10</f>
        <v>0</v>
      </c>
      <c r="G10" s="116"/>
      <c r="H10" s="16" t="s">
        <v>148</v>
      </c>
      <c r="I10" s="70">
        <f>'NO TOUCH - BACKGROUND'!$B$23</f>
        <v>18.399999999999999</v>
      </c>
      <c r="J10" s="75">
        <f>'NO TOUCH - BACKGROUND'!$C$23</f>
        <v>16</v>
      </c>
      <c r="K10" s="73">
        <v>0</v>
      </c>
      <c r="L10" s="80">
        <f>$K10*$I10</f>
        <v>0</v>
      </c>
      <c r="M10" s="81">
        <f>$K10*$J10</f>
        <v>0</v>
      </c>
      <c r="N10" s="87"/>
    </row>
    <row r="11" spans="1:14" x14ac:dyDescent="0.25">
      <c r="A11" s="68"/>
      <c r="B11"/>
      <c r="C11" s="69"/>
      <c r="H11"/>
      <c r="I11"/>
      <c r="J11" s="69"/>
    </row>
    <row r="12" spans="1:14" x14ac:dyDescent="0.25">
      <c r="A12" s="68"/>
      <c r="B12"/>
      <c r="C12" s="69"/>
      <c r="H12"/>
      <c r="I12"/>
      <c r="J12" s="69"/>
    </row>
    <row r="13" spans="1:14" x14ac:dyDescent="0.25">
      <c r="A13" s="87"/>
      <c r="B13" s="12"/>
      <c r="C13" s="74"/>
      <c r="H13" s="12"/>
      <c r="I13" s="12"/>
      <c r="J13" s="74"/>
    </row>
    <row r="14" spans="1:14" x14ac:dyDescent="0.25">
      <c r="A14" s="87"/>
      <c r="B14" s="12"/>
      <c r="C14" s="74"/>
      <c r="H14" s="12"/>
      <c r="I14" s="12"/>
      <c r="J14" s="74"/>
    </row>
    <row r="15" spans="1:14" x14ac:dyDescent="0.25">
      <c r="A15" s="87"/>
      <c r="B15" s="12"/>
      <c r="C15" s="74"/>
      <c r="H15" s="12"/>
      <c r="I15" s="12"/>
      <c r="J15" s="74"/>
    </row>
    <row r="16" spans="1:14" x14ac:dyDescent="0.25">
      <c r="A16" s="87"/>
      <c r="B16" s="12"/>
      <c r="C16" s="74"/>
      <c r="H16" s="12"/>
      <c r="I16" s="12"/>
      <c r="J16" s="74"/>
    </row>
    <row r="17" spans="1:10" x14ac:dyDescent="0.25">
      <c r="A17" s="68"/>
      <c r="B17"/>
      <c r="C17" s="69"/>
      <c r="H17"/>
      <c r="I17"/>
      <c r="J17" s="69"/>
    </row>
    <row r="18" spans="1:10" x14ac:dyDescent="0.25">
      <c r="A18" s="87"/>
      <c r="B18" s="12"/>
      <c r="C18" s="74"/>
      <c r="H18" s="12"/>
      <c r="I18" s="12"/>
      <c r="J18" s="74"/>
    </row>
    <row r="19" spans="1:10" x14ac:dyDescent="0.25">
      <c r="A19" s="87"/>
      <c r="B19" s="12"/>
      <c r="C19" s="74"/>
      <c r="H19" s="12"/>
      <c r="I19" s="12"/>
      <c r="J19" s="74"/>
    </row>
    <row r="20" spans="1:10" x14ac:dyDescent="0.25">
      <c r="A20" s="87"/>
      <c r="B20" s="12"/>
      <c r="C20" s="74"/>
      <c r="H20" s="12"/>
      <c r="I20" s="12"/>
      <c r="J20" s="74"/>
    </row>
    <row r="21" spans="1:10" x14ac:dyDescent="0.25">
      <c r="A21" s="87"/>
      <c r="B21" s="12"/>
      <c r="C21" s="74"/>
      <c r="H21" s="12"/>
      <c r="I21" s="12"/>
      <c r="J21" s="74"/>
    </row>
    <row r="22" spans="1:10" x14ac:dyDescent="0.25">
      <c r="A22" s="68"/>
      <c r="B22"/>
      <c r="C22" s="69"/>
      <c r="H22"/>
      <c r="I22"/>
      <c r="J22" s="69"/>
    </row>
    <row r="23" spans="1:10" x14ac:dyDescent="0.25">
      <c r="A23" s="68"/>
      <c r="B23"/>
      <c r="C23" s="69"/>
      <c r="H23"/>
      <c r="I23"/>
      <c r="J23" s="69"/>
    </row>
  </sheetData>
  <autoFilter ref="A8:A10" xr:uid="{8DBBC780-87F7-4053-A70A-0D1BE0B87FC8}"/>
  <phoneticPr fontId="11" type="noConversion"/>
  <conditionalFormatting sqref="B4">
    <cfRule type="cellIs" dxfId="6" priority="5" operator="notBetween">
      <formula>0</formula>
      <formula>6500</formula>
    </cfRule>
  </conditionalFormatting>
  <conditionalFormatting sqref="G6">
    <cfRule type="cellIs" dxfId="5"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311DF-DEB9-4BD9-A929-B6DEC519F8EA}">
  <dimension ref="A1:L80"/>
  <sheetViews>
    <sheetView tabSelected="1" zoomScaleNormal="100" workbookViewId="0">
      <selection activeCell="M22" sqref="M22"/>
    </sheetView>
  </sheetViews>
  <sheetFormatPr defaultColWidth="8.7109375" defaultRowHeight="15.75" x14ac:dyDescent="0.25"/>
  <cols>
    <col min="1" max="1" width="47.42578125" style="6" bestFit="1" customWidth="1"/>
    <col min="2" max="2" width="14.5703125" style="5" bestFit="1" customWidth="1"/>
    <col min="3" max="3" width="15.5703125" style="5" bestFit="1" customWidth="1"/>
    <col min="4" max="4" width="14.140625" style="5" bestFit="1" customWidth="1"/>
    <col min="5" max="5" width="17.42578125" style="5" bestFit="1" customWidth="1"/>
    <col min="6" max="6" width="19.5703125" style="5" bestFit="1" customWidth="1"/>
    <col min="7" max="7" width="15" style="5" bestFit="1" customWidth="1"/>
    <col min="8" max="8" width="16.140625" style="5" bestFit="1" customWidth="1"/>
    <col min="9" max="9" width="13.140625" style="5" bestFit="1" customWidth="1"/>
    <col min="10" max="10" width="9.42578125" style="5" bestFit="1" customWidth="1"/>
    <col min="11" max="11" width="14.28515625" style="5" bestFit="1" customWidth="1"/>
    <col min="12" max="12" width="8.85546875" style="1" customWidth="1"/>
    <col min="13" max="14" width="11.85546875" style="1" customWidth="1"/>
    <col min="15" max="15" width="12.140625" style="1" customWidth="1"/>
    <col min="16" max="16" width="11.85546875" style="1" customWidth="1"/>
    <col min="17" max="17" width="10.140625" style="1" customWidth="1"/>
    <col min="18" max="18" width="10.85546875" style="1" customWidth="1"/>
    <col min="19" max="16384" width="8.7109375" style="1"/>
  </cols>
  <sheetData>
    <row r="1" spans="1:11" x14ac:dyDescent="0.25">
      <c r="A1" s="7" t="s">
        <v>169</v>
      </c>
      <c r="B1" s="10" t="s">
        <v>45</v>
      </c>
      <c r="C1" s="11">
        <v>45681</v>
      </c>
      <c r="D1" s="2"/>
      <c r="E1" s="1"/>
      <c r="F1" s="1"/>
      <c r="G1" s="1"/>
      <c r="H1" s="1"/>
      <c r="I1" s="1"/>
      <c r="J1" s="1"/>
      <c r="K1" s="1"/>
    </row>
    <row r="2" spans="1:11" x14ac:dyDescent="0.25">
      <c r="A2" s="7" t="str">
        <f>'SCI GEAR LOADOUT'!$B$2</f>
        <v>XXXX</v>
      </c>
      <c r="B2" s="1"/>
      <c r="C2" s="9"/>
      <c r="D2" s="2"/>
      <c r="E2" s="1"/>
      <c r="F2" s="1"/>
      <c r="G2" s="1"/>
      <c r="H2" s="1"/>
      <c r="I2" s="1"/>
      <c r="J2" s="1"/>
      <c r="K2" s="1"/>
    </row>
    <row r="3" spans="1:11" s="5" customFormat="1" x14ac:dyDescent="0.25">
      <c r="A3" s="24" t="s">
        <v>29</v>
      </c>
      <c r="B3" s="25" t="s">
        <v>13</v>
      </c>
    </row>
    <row r="4" spans="1:11" s="2" customFormat="1" x14ac:dyDescent="0.25">
      <c r="A4" s="26" t="s">
        <v>132</v>
      </c>
      <c r="B4" s="27">
        <f>'SCI GEAR LOADOUT'!$E$6</f>
        <v>0</v>
      </c>
    </row>
    <row r="5" spans="1:11" s="2" customFormat="1" x14ac:dyDescent="0.25">
      <c r="A5" s="26" t="s">
        <v>133</v>
      </c>
      <c r="B5" s="27">
        <f>'SCI GEAR LOADOUT'!$F$6</f>
        <v>0</v>
      </c>
    </row>
    <row r="6" spans="1:11" s="2" customFormat="1" x14ac:dyDescent="0.25">
      <c r="A6" s="26" t="s">
        <v>134</v>
      </c>
      <c r="B6" s="27">
        <f>'SCI GEAR LOADOUT'!$L$6</f>
        <v>0</v>
      </c>
    </row>
    <row r="7" spans="1:11" s="2" customFormat="1" x14ac:dyDescent="0.25">
      <c r="A7" s="26" t="s">
        <v>135</v>
      </c>
      <c r="B7" s="27">
        <f>'SCI GEAR LOADOUT'!$M$6</f>
        <v>0</v>
      </c>
    </row>
    <row r="8" spans="1:11" s="2" customFormat="1" x14ac:dyDescent="0.25">
      <c r="A8" s="120" t="s">
        <v>149</v>
      </c>
      <c r="B8" s="27">
        <f>'SCI GEAR LOADOUT'!$G$6</f>
        <v>0</v>
      </c>
    </row>
    <row r="9" spans="1:11" s="5" customFormat="1" x14ac:dyDescent="0.25">
      <c r="A9" s="26" t="s">
        <v>41</v>
      </c>
      <c r="B9" s="28">
        <f>'SCI GEAR LOADOUT'!$B$4</f>
        <v>6500</v>
      </c>
      <c r="C9" s="2"/>
    </row>
    <row r="10" spans="1:11" s="5" customFormat="1" x14ac:dyDescent="0.25">
      <c r="A10" s="26" t="s">
        <v>120</v>
      </c>
      <c r="B10" s="49">
        <v>100</v>
      </c>
    </row>
    <row r="11" spans="1:11" s="5" customFormat="1" x14ac:dyDescent="0.25">
      <c r="A11" s="26" t="s">
        <v>121</v>
      </c>
      <c r="B11" s="49">
        <v>-100</v>
      </c>
    </row>
    <row r="12" spans="1:11" s="5" customFormat="1" x14ac:dyDescent="0.25">
      <c r="A12" s="26" t="s">
        <v>123</v>
      </c>
      <c r="B12" s="49">
        <v>50</v>
      </c>
    </row>
    <row r="13" spans="1:11" s="5" customFormat="1" x14ac:dyDescent="0.25">
      <c r="A13" s="26" t="s">
        <v>150</v>
      </c>
      <c r="B13" s="49">
        <v>0</v>
      </c>
    </row>
    <row r="14" spans="1:11" s="5" customFormat="1" x14ac:dyDescent="0.25"/>
    <row r="15" spans="1:11" s="5" customFormat="1" x14ac:dyDescent="0.25">
      <c r="A15" s="29" t="s">
        <v>46</v>
      </c>
      <c r="B15" s="30">
        <f>1.524*SQRT((2*AVERAGE($D$33,$E$33)*386.09)/(AVERAGE('NO TOUCH - BACKGROUND'!$B$31,'NO TOUCH - BACKGROUND'!$C$31)*1.25*(66^2)))</f>
        <v>29.224034143451291</v>
      </c>
      <c r="C15" s="67"/>
    </row>
    <row r="16" spans="1:11" s="5" customFormat="1" x14ac:dyDescent="0.25">
      <c r="A16" s="29" t="s">
        <v>47</v>
      </c>
      <c r="B16" s="30">
        <f>$B$9/$B$15</f>
        <v>222.41966896471621</v>
      </c>
      <c r="C16" s="67"/>
    </row>
    <row r="17" spans="1:12" s="5" customFormat="1" x14ac:dyDescent="0.25">
      <c r="A17" s="29" t="s">
        <v>48</v>
      </c>
      <c r="B17" s="30">
        <f>1.524*SQRT((2*ABS(AVERAGE($H$33,$I$33))*386.09)/(AVERAGE('NO TOUCH - BACKGROUND'!$B$31,'NO TOUCH - BACKGROUND'!$C$31)*1.05*(66^2)))</f>
        <v>33.831588342437612</v>
      </c>
      <c r="C17" s="67"/>
    </row>
    <row r="18" spans="1:12" s="5" customFormat="1" x14ac:dyDescent="0.25">
      <c r="A18" s="29" t="s">
        <v>49</v>
      </c>
      <c r="B18" s="30">
        <f>$B$9/$B$17</f>
        <v>192.12813581816201</v>
      </c>
      <c r="C18" s="67"/>
    </row>
    <row r="19" spans="1:12" s="5" customFormat="1" x14ac:dyDescent="0.25">
      <c r="A19" s="31"/>
      <c r="D19" s="8"/>
    </row>
    <row r="20" spans="1:12" s="5" customFormat="1" x14ac:dyDescent="0.25">
      <c r="A20" s="7" t="s">
        <v>137</v>
      </c>
      <c r="D20" s="8"/>
    </row>
    <row r="21" spans="1:12" s="5" customFormat="1" x14ac:dyDescent="0.25">
      <c r="A21" s="32" t="s">
        <v>25</v>
      </c>
      <c r="B21" s="32" t="s">
        <v>35</v>
      </c>
      <c r="D21" s="8"/>
    </row>
    <row r="22" spans="1:12" s="5" customFormat="1" x14ac:dyDescent="0.25">
      <c r="A22" s="26" t="s">
        <v>126</v>
      </c>
      <c r="B22" s="30">
        <f>'NO TOUCH - BACKGROUND'!$E$3</f>
        <v>37.44</v>
      </c>
      <c r="D22" s="8"/>
    </row>
    <row r="23" spans="1:12" s="5" customFormat="1" x14ac:dyDescent="0.25">
      <c r="A23" s="26" t="s">
        <v>127</v>
      </c>
      <c r="B23" s="30">
        <f>'NO TOUCH - BACKGROUND'!$I$3</f>
        <v>153.44</v>
      </c>
      <c r="D23" s="8"/>
    </row>
    <row r="24" spans="1:12" s="5" customFormat="1" x14ac:dyDescent="0.25">
      <c r="A24" s="26" t="s">
        <v>128</v>
      </c>
      <c r="B24" s="30">
        <f>'NO TOUCH - BACKGROUND'!$M$3</f>
        <v>269.44</v>
      </c>
      <c r="D24" s="8"/>
    </row>
    <row r="25" spans="1:12" s="5" customFormat="1" x14ac:dyDescent="0.25">
      <c r="A25" s="26" t="s">
        <v>129</v>
      </c>
      <c r="B25" s="30">
        <f>'NO TOUCH - BACKGROUND'!$Q$3</f>
        <v>385.44</v>
      </c>
      <c r="D25" s="8"/>
    </row>
    <row r="26" spans="1:12" s="5" customFormat="1" x14ac:dyDescent="0.25">
      <c r="A26" s="26" t="s">
        <v>125</v>
      </c>
      <c r="B26" s="30">
        <f>'NO TOUCH - BACKGROUND'!$B$3</f>
        <v>965.33600000000001</v>
      </c>
      <c r="D26" s="8"/>
    </row>
    <row r="27" spans="1:12" s="5" customFormat="1" x14ac:dyDescent="0.25">
      <c r="A27" s="26" t="s">
        <v>136</v>
      </c>
      <c r="B27" s="28">
        <v>2000</v>
      </c>
      <c r="D27" s="8"/>
    </row>
    <row r="29" spans="1:12" x14ac:dyDescent="0.25">
      <c r="A29" s="7" t="s">
        <v>50</v>
      </c>
      <c r="H29" s="8"/>
    </row>
    <row r="30" spans="1:12" x14ac:dyDescent="0.25">
      <c r="A30" s="32" t="s">
        <v>0</v>
      </c>
      <c r="B30" s="32" t="s">
        <v>140</v>
      </c>
      <c r="C30" s="32" t="s">
        <v>51</v>
      </c>
      <c r="D30" s="32" t="s">
        <v>8</v>
      </c>
      <c r="E30" s="32" t="s">
        <v>30</v>
      </c>
      <c r="F30" s="32" t="s">
        <v>144</v>
      </c>
      <c r="G30" s="32" t="s">
        <v>143</v>
      </c>
      <c r="H30" s="32" t="s">
        <v>31</v>
      </c>
      <c r="I30" s="32" t="s">
        <v>9</v>
      </c>
      <c r="J30" s="32" t="s">
        <v>52</v>
      </c>
      <c r="K30" s="32" t="s">
        <v>53</v>
      </c>
      <c r="L30" s="13"/>
    </row>
    <row r="31" spans="1:12" s="2" customFormat="1" x14ac:dyDescent="0.25">
      <c r="A31" s="33" t="s">
        <v>1</v>
      </c>
      <c r="B31" s="28" t="s">
        <v>6</v>
      </c>
      <c r="C31" s="28" t="s">
        <v>3</v>
      </c>
      <c r="D31" s="28" t="s">
        <v>2</v>
      </c>
      <c r="E31" s="28" t="s">
        <v>2</v>
      </c>
      <c r="F31" s="28" t="s">
        <v>2</v>
      </c>
      <c r="G31" s="28" t="s">
        <v>2</v>
      </c>
      <c r="H31" s="28" t="s">
        <v>2</v>
      </c>
      <c r="I31" s="28" t="s">
        <v>2</v>
      </c>
      <c r="J31" s="28" t="s">
        <v>11</v>
      </c>
      <c r="K31" s="28" t="s">
        <v>12</v>
      </c>
      <c r="L31" s="5"/>
    </row>
    <row r="32" spans="1:12" s="5" customFormat="1" x14ac:dyDescent="0.25">
      <c r="A32" s="34" t="s">
        <v>24</v>
      </c>
      <c r="B32" s="33" t="s">
        <v>1</v>
      </c>
      <c r="C32" s="33" t="s">
        <v>1</v>
      </c>
      <c r="D32" s="33" t="s">
        <v>1</v>
      </c>
      <c r="E32" s="33">
        <f>$B$10</f>
        <v>100</v>
      </c>
      <c r="F32" s="33" t="s">
        <v>1</v>
      </c>
      <c r="G32" s="33">
        <f>$B$12</f>
        <v>50</v>
      </c>
      <c r="H32" s="33" t="s">
        <v>1</v>
      </c>
      <c r="I32" s="33">
        <f>$B$11</f>
        <v>-100</v>
      </c>
      <c r="J32" s="33" t="s">
        <v>1</v>
      </c>
      <c r="K32" s="33" t="s">
        <v>1</v>
      </c>
      <c r="L32" s="2"/>
    </row>
    <row r="33" spans="1:12" s="2" customFormat="1" x14ac:dyDescent="0.25">
      <c r="A33" s="35" t="s">
        <v>5</v>
      </c>
      <c r="B33" s="3">
        <f t="shared" ref="B33:I33" si="0">SUM(B34:B36,B39,B43)</f>
        <v>1071.4639999999999</v>
      </c>
      <c r="C33" s="36">
        <f t="shared" si="0"/>
        <v>26101.939655172409</v>
      </c>
      <c r="D33" s="36">
        <f t="shared" si="0"/>
        <v>102.56</v>
      </c>
      <c r="E33" s="3">
        <f t="shared" si="0"/>
        <v>92.712263753356751</v>
      </c>
      <c r="F33" s="3">
        <f>SUM(F34:F36,F39,F43)</f>
        <v>92.712263753356751</v>
      </c>
      <c r="G33" s="3">
        <f>SUM(G34:G36,G39,G43)</f>
        <v>44.919745607037299</v>
      </c>
      <c r="H33" s="36">
        <f t="shared" si="0"/>
        <v>-114.38864821402754</v>
      </c>
      <c r="I33" s="3">
        <f t="shared" si="0"/>
        <v>-105.44</v>
      </c>
      <c r="J33" s="30" t="s">
        <v>1</v>
      </c>
      <c r="K33" s="30" t="s">
        <v>1</v>
      </c>
      <c r="L33" s="1"/>
    </row>
    <row r="34" spans="1:12" x14ac:dyDescent="0.25">
      <c r="A34" s="37" t="s">
        <v>7</v>
      </c>
      <c r="B34" s="38">
        <f>$B$4</f>
        <v>0</v>
      </c>
      <c r="C34" s="38">
        <f>($B34-$D34)/'NO TOUCH - BACKGROUND'!$B$31</f>
        <v>0</v>
      </c>
      <c r="D34" s="38">
        <f>$B$5</f>
        <v>0</v>
      </c>
      <c r="E34" s="38">
        <f>$B34-($C34*'NO TOUCH - BACKGROUND'!$C$31)</f>
        <v>0</v>
      </c>
      <c r="F34" s="38">
        <f>$B$6-((($B$6-$B$7)/'NO TOUCH - BACKGROUND'!$B$31)*'NO TOUCH - BACKGROUND'!$C$31)</f>
        <v>0</v>
      </c>
      <c r="G34" s="38">
        <f>$F34</f>
        <v>0</v>
      </c>
      <c r="H34" s="38">
        <f>$F34</f>
        <v>0</v>
      </c>
      <c r="I34" s="38">
        <f>$B$7</f>
        <v>0</v>
      </c>
      <c r="J34" s="39" t="s">
        <v>1</v>
      </c>
      <c r="K34" s="39" t="s">
        <v>1</v>
      </c>
      <c r="L34" s="4"/>
    </row>
    <row r="35" spans="1:12" x14ac:dyDescent="0.25">
      <c r="A35" s="37" t="s">
        <v>28</v>
      </c>
      <c r="B35" s="38">
        <f>$J35*'NO TOUCH - BACKGROUND'!$B$23</f>
        <v>36.799999999999997</v>
      </c>
      <c r="C35" s="38">
        <f>($B35-$D35)/'NO TOUCH - BACKGROUND'!$B$31</f>
        <v>129.31034482758614</v>
      </c>
      <c r="D35" s="38">
        <f>$J35*'NO TOUCH - BACKGROUND'!$C$23</f>
        <v>32</v>
      </c>
      <c r="E35" s="38">
        <f>$B35-($C35*'NO TOUCH - BACKGROUND'!$C$31)</f>
        <v>31.861678764212968</v>
      </c>
      <c r="F35" s="38">
        <f>$E35</f>
        <v>31.861678764212968</v>
      </c>
      <c r="G35" s="38">
        <f>$E35</f>
        <v>31.861678764212968</v>
      </c>
      <c r="H35" s="38">
        <f>$E35</f>
        <v>31.861678764212968</v>
      </c>
      <c r="I35" s="38">
        <f>$D35</f>
        <v>32</v>
      </c>
      <c r="J35" s="3">
        <f>ROUND(($B$11-($I34+$I39+$I43))/'NO TOUCH - BACKGROUND'!$C$23,0)</f>
        <v>2</v>
      </c>
      <c r="K35" s="38" t="s">
        <v>1</v>
      </c>
    </row>
    <row r="36" spans="1:12" x14ac:dyDescent="0.25">
      <c r="A36" s="37" t="s">
        <v>27</v>
      </c>
      <c r="B36" s="38">
        <f>SUM(B37:B38)</f>
        <v>239.2</v>
      </c>
      <c r="C36" s="38">
        <f t="shared" ref="C36:I36" si="1">SUM(C37:C38)</f>
        <v>840.51724137931024</v>
      </c>
      <c r="D36" s="38">
        <f t="shared" si="1"/>
        <v>208</v>
      </c>
      <c r="E36" s="38">
        <f t="shared" si="1"/>
        <v>207.10091196738429</v>
      </c>
      <c r="F36" s="38">
        <f t="shared" ref="F36" si="2">SUM(F37:F38)</f>
        <v>207.10091196738429</v>
      </c>
      <c r="G36" s="38">
        <f t="shared" si="1"/>
        <v>159.30839382106484</v>
      </c>
      <c r="H36" s="38">
        <f t="shared" si="1"/>
        <v>0</v>
      </c>
      <c r="I36" s="38">
        <f t="shared" si="1"/>
        <v>0</v>
      </c>
      <c r="J36" s="39">
        <f>SUM(J37:J38)</f>
        <v>13</v>
      </c>
      <c r="K36" s="38" t="s">
        <v>1</v>
      </c>
    </row>
    <row r="37" spans="1:12" x14ac:dyDescent="0.25">
      <c r="A37" s="40" t="s">
        <v>14</v>
      </c>
      <c r="B37" s="27">
        <f>$J37*'NO TOUCH - BACKGROUND'!$B$23</f>
        <v>184</v>
      </c>
      <c r="C37" s="27">
        <f>($B37-$D37)/'NO TOUCH - BACKGROUND'!$B$31</f>
        <v>646.55172413793105</v>
      </c>
      <c r="D37" s="27">
        <f>$J37*'NO TOUCH - BACKGROUND'!$C$23</f>
        <v>160</v>
      </c>
      <c r="E37" s="27">
        <f>$B37-($C37*'NO TOUCH - BACKGROUND'!$C$31)</f>
        <v>159.30839382106484</v>
      </c>
      <c r="F37" s="27">
        <f>$E37</f>
        <v>159.30839382106484</v>
      </c>
      <c r="G37" s="27">
        <f>$E37</f>
        <v>159.30839382106484</v>
      </c>
      <c r="H37" s="27">
        <f>$E37-$E37</f>
        <v>0</v>
      </c>
      <c r="I37" s="27">
        <f>$E37-$E37</f>
        <v>0</v>
      </c>
      <c r="J37" s="3">
        <f>ROUND(($B$12-($H34+$H35+$H39+$H43))/'NO TOUCH - BACKGROUND'!$D$23,0)</f>
        <v>10</v>
      </c>
      <c r="K37" s="27">
        <f>$J37*'NO TOUCH - BACKGROUND'!$E$23</f>
        <v>6.25</v>
      </c>
    </row>
    <row r="38" spans="1:12" x14ac:dyDescent="0.25">
      <c r="A38" s="40" t="s">
        <v>15</v>
      </c>
      <c r="B38" s="27">
        <f>$J38*'NO TOUCH - BACKGROUND'!$B$23</f>
        <v>55.199999999999996</v>
      </c>
      <c r="C38" s="27">
        <f>($B38-$D38)/'NO TOUCH - BACKGROUND'!$B$31</f>
        <v>193.96551724137919</v>
      </c>
      <c r="D38" s="27">
        <f>$J38*'NO TOUCH - BACKGROUND'!$C$23</f>
        <v>48</v>
      </c>
      <c r="E38" s="27">
        <f>$B38-($C38*'NO TOUCH - BACKGROUND'!$C$31)</f>
        <v>47.792518146319452</v>
      </c>
      <c r="F38" s="27">
        <f>$E38</f>
        <v>47.792518146319452</v>
      </c>
      <c r="G38" s="27">
        <f>$E38-$E38</f>
        <v>0</v>
      </c>
      <c r="H38" s="27">
        <f>$G38-$G38</f>
        <v>0</v>
      </c>
      <c r="I38" s="27">
        <f>$G38-$G38</f>
        <v>0</v>
      </c>
      <c r="J38" s="3">
        <f>ROUND((($B$10-$B$12)/'NO TOUCH - BACKGROUND'!$D$23),0)</f>
        <v>3</v>
      </c>
      <c r="K38" s="27">
        <f>$J38*'NO TOUCH - BACKGROUND'!$E$23</f>
        <v>1.875</v>
      </c>
    </row>
    <row r="39" spans="1:12" x14ac:dyDescent="0.25">
      <c r="A39" s="37" t="s">
        <v>54</v>
      </c>
      <c r="B39" s="38">
        <f t="shared" ref="B39:I39" si="3">SUM(B40:B42)</f>
        <v>0</v>
      </c>
      <c r="C39" s="38">
        <f t="shared" si="3"/>
        <v>0</v>
      </c>
      <c r="D39" s="38">
        <f t="shared" si="3"/>
        <v>0</v>
      </c>
      <c r="E39" s="38">
        <f t="shared" si="3"/>
        <v>0</v>
      </c>
      <c r="F39" s="38">
        <f t="shared" ref="F39" si="4">SUM(F40:F42)</f>
        <v>0</v>
      </c>
      <c r="G39" s="38">
        <f t="shared" si="3"/>
        <v>0</v>
      </c>
      <c r="H39" s="38">
        <f t="shared" si="3"/>
        <v>0</v>
      </c>
      <c r="I39" s="38">
        <f t="shared" si="3"/>
        <v>0</v>
      </c>
      <c r="J39" s="39" t="s">
        <v>1</v>
      </c>
      <c r="K39" s="38" t="s">
        <v>1</v>
      </c>
    </row>
    <row r="40" spans="1:12" x14ac:dyDescent="0.25">
      <c r="A40" s="40" t="s">
        <v>16</v>
      </c>
      <c r="B40" s="27">
        <f>IF(OR($B$13=1,$B$13=2,$B$13=3),'NO TOUCH - BACKGROUND'!$B$24,0)</f>
        <v>0</v>
      </c>
      <c r="C40" s="27">
        <f>($B40-$D40)/'NO TOUCH - BACKGROUND'!$B$31</f>
        <v>0</v>
      </c>
      <c r="D40" s="27">
        <f>IF(OR($B$13=1,$B$13=2,$B$13=3),'NO TOUCH - BACKGROUND'!$C$24,0)</f>
        <v>0</v>
      </c>
      <c r="E40" s="27">
        <f>$B40-('NO TOUCH - BACKGROUND'!$C$31*$B40/'NO TOUCH - BACKGROUND'!$C$33)</f>
        <v>0</v>
      </c>
      <c r="F40" s="27">
        <f>$E40</f>
        <v>0</v>
      </c>
      <c r="G40" s="27">
        <f>$E40</f>
        <v>0</v>
      </c>
      <c r="H40" s="27">
        <f>$E40</f>
        <v>0</v>
      </c>
      <c r="I40" s="27">
        <f>$D40</f>
        <v>0</v>
      </c>
      <c r="J40" s="30" t="s">
        <v>1</v>
      </c>
      <c r="K40" s="30" t="s">
        <v>1</v>
      </c>
      <c r="L40" s="113"/>
    </row>
    <row r="41" spans="1:12" x14ac:dyDescent="0.25">
      <c r="A41" s="40" t="s">
        <v>17</v>
      </c>
      <c r="B41" s="27">
        <f>IF(OR($B$13=2,$B$13=3),'NO TOUCH - BACKGROUND'!$B$24,0)</f>
        <v>0</v>
      </c>
      <c r="C41" s="27">
        <f>($B41-$D41)/'NO TOUCH - BACKGROUND'!$B$31</f>
        <v>0</v>
      </c>
      <c r="D41" s="27">
        <f>IF(OR($B$13=2,$B$13=3),'NO TOUCH - BACKGROUND'!$C$24,0)</f>
        <v>0</v>
      </c>
      <c r="E41" s="27">
        <f>$B41-('NO TOUCH - BACKGROUND'!$C$31*$B41/'NO TOUCH - BACKGROUND'!$C$33)</f>
        <v>0</v>
      </c>
      <c r="F41" s="27">
        <f t="shared" ref="F41:H42" si="5">$E41</f>
        <v>0</v>
      </c>
      <c r="G41" s="27">
        <f t="shared" si="5"/>
        <v>0</v>
      </c>
      <c r="H41" s="27">
        <f t="shared" si="5"/>
        <v>0</v>
      </c>
      <c r="I41" s="27">
        <f>$D41</f>
        <v>0</v>
      </c>
      <c r="J41" s="30" t="s">
        <v>1</v>
      </c>
      <c r="K41" s="30" t="s">
        <v>1</v>
      </c>
      <c r="L41" s="113"/>
    </row>
    <row r="42" spans="1:12" x14ac:dyDescent="0.25">
      <c r="A42" s="40" t="s">
        <v>18</v>
      </c>
      <c r="B42" s="27">
        <f>IF(($B$13=3),'NO TOUCH - BACKGROUND'!$B$24,0)</f>
        <v>0</v>
      </c>
      <c r="C42" s="27">
        <f>($B42-$D42)/'NO TOUCH - BACKGROUND'!$B$31</f>
        <v>0</v>
      </c>
      <c r="D42" s="27">
        <f>IF(OR($B$13=3),'NO TOUCH - BACKGROUND'!$C$24,0)</f>
        <v>0</v>
      </c>
      <c r="E42" s="27">
        <f>$B42-('NO TOUCH - BACKGROUND'!$C$31*$B42/'NO TOUCH - BACKGROUND'!$C$33)</f>
        <v>0</v>
      </c>
      <c r="F42" s="27">
        <f t="shared" si="5"/>
        <v>0</v>
      </c>
      <c r="G42" s="27">
        <f t="shared" si="5"/>
        <v>0</v>
      </c>
      <c r="H42" s="27">
        <f t="shared" si="5"/>
        <v>0</v>
      </c>
      <c r="I42" s="27">
        <f>$D42</f>
        <v>0</v>
      </c>
      <c r="J42" s="30" t="s">
        <v>1</v>
      </c>
      <c r="K42" s="30" t="s">
        <v>1</v>
      </c>
      <c r="L42" s="113"/>
    </row>
    <row r="43" spans="1:12" x14ac:dyDescent="0.25">
      <c r="A43" s="37" t="s">
        <v>26</v>
      </c>
      <c r="B43" s="38">
        <f t="shared" ref="B43:I43" si="6">SUM(B44:B49)</f>
        <v>795.46399999999994</v>
      </c>
      <c r="C43" s="38">
        <f t="shared" si="6"/>
        <v>25132.112068965514</v>
      </c>
      <c r="D43" s="38">
        <f t="shared" si="6"/>
        <v>-137.44</v>
      </c>
      <c r="E43" s="38">
        <f t="shared" si="6"/>
        <v>-146.25032697824051</v>
      </c>
      <c r="F43" s="38">
        <f t="shared" si="6"/>
        <v>-146.25032697824051</v>
      </c>
      <c r="G43" s="38">
        <f t="shared" si="6"/>
        <v>-146.25032697824051</v>
      </c>
      <c r="H43" s="38">
        <f t="shared" si="6"/>
        <v>-146.25032697824051</v>
      </c>
      <c r="I43" s="38">
        <f t="shared" si="6"/>
        <v>-137.44</v>
      </c>
      <c r="J43" s="39" t="s">
        <v>1</v>
      </c>
      <c r="K43" s="38" t="s">
        <v>1</v>
      </c>
    </row>
    <row r="44" spans="1:12" x14ac:dyDescent="0.25">
      <c r="A44" s="40" t="s">
        <v>55</v>
      </c>
      <c r="B44" s="27">
        <f>'NO TOUCH - BACKGROUND'!$B$25</f>
        <v>425</v>
      </c>
      <c r="C44" s="27">
        <f>($B44-$D44)/'NO TOUCH - BACKGROUND'!$B$31</f>
        <v>20420.258620689656</v>
      </c>
      <c r="D44" s="27">
        <f>'NO TOUCH - BACKGROUND'!$C$25</f>
        <v>-333</v>
      </c>
      <c r="E44" s="27">
        <f>$B44-('NO TOUCH - BACKGROUND'!$C$31*$B44/'NO TOUCH - BACKGROUND'!$C$33)</f>
        <v>-336.77013168155406</v>
      </c>
      <c r="F44" s="27">
        <f t="shared" ref="F44:G49" si="7">$E44</f>
        <v>-336.77013168155406</v>
      </c>
      <c r="G44" s="27">
        <f t="shared" si="7"/>
        <v>-336.77013168155406</v>
      </c>
      <c r="H44" s="27">
        <f t="shared" ref="H44:H49" si="8">$E44</f>
        <v>-336.77013168155406</v>
      </c>
      <c r="I44" s="27">
        <f t="shared" ref="I44:I49" si="9">$D44</f>
        <v>-333</v>
      </c>
      <c r="J44" s="30" t="s">
        <v>1</v>
      </c>
      <c r="K44" s="30" t="s">
        <v>1</v>
      </c>
      <c r="L44" s="14"/>
    </row>
    <row r="45" spans="1:12" x14ac:dyDescent="0.25">
      <c r="A45" s="40" t="s">
        <v>56</v>
      </c>
      <c r="B45" s="27">
        <f>'NO TOUCH - BACKGROUND'!$B$26</f>
        <v>326.8</v>
      </c>
      <c r="C45" s="27">
        <f>($B45-$D45)/'NO TOUCH - BACKGROUND'!$B$31</f>
        <v>4213.3620689655172</v>
      </c>
      <c r="D45" s="27">
        <f>'NO TOUCH - BACKGROUND'!$C$26</f>
        <v>170.4</v>
      </c>
      <c r="E45" s="27">
        <f>$B45-($C45*'NO TOUCH - BACKGROUND'!$C$31)</f>
        <v>165.89303306727254</v>
      </c>
      <c r="F45" s="27">
        <f t="shared" si="7"/>
        <v>165.89303306727254</v>
      </c>
      <c r="G45" s="27">
        <f t="shared" si="7"/>
        <v>165.89303306727254</v>
      </c>
      <c r="H45" s="27">
        <f t="shared" si="8"/>
        <v>165.89303306727254</v>
      </c>
      <c r="I45" s="27">
        <f t="shared" si="9"/>
        <v>170.4</v>
      </c>
      <c r="J45" s="30" t="s">
        <v>1</v>
      </c>
      <c r="K45" s="30" t="s">
        <v>1</v>
      </c>
    </row>
    <row r="46" spans="1:12" x14ac:dyDescent="0.25">
      <c r="A46" s="66" t="s">
        <v>111</v>
      </c>
      <c r="B46" s="27">
        <f>IF($A46='NO TOUCH - BACKGROUND'!$A$11,'NO TOUCH - BACKGROUND'!$B$11,'NO TOUCH - BACKGROUND'!$B$12)</f>
        <v>6.3239999999999998</v>
      </c>
      <c r="C46" s="27">
        <f>($B46-$D46)/'NO TOUCH - BACKGROUND'!$B$31</f>
        <v>84.159482758620683</v>
      </c>
      <c r="D46" s="27">
        <f>IF($A46='NO TOUCH - BACKGROUND'!$A$11,'NO TOUCH - BACKGROUND'!$C$11,'NO TOUCH - BACKGROUND'!$C$12)</f>
        <v>3.2</v>
      </c>
      <c r="E46" s="27">
        <f>$B46-($C46*'NO TOUCH - BACKGROUND'!$C$31)</f>
        <v>3.1099759290419402</v>
      </c>
      <c r="F46" s="27">
        <f t="shared" si="7"/>
        <v>3.1099759290419402</v>
      </c>
      <c r="G46" s="27">
        <f t="shared" si="7"/>
        <v>3.1099759290419402</v>
      </c>
      <c r="H46" s="27">
        <f t="shared" si="8"/>
        <v>3.1099759290419402</v>
      </c>
      <c r="I46" s="27">
        <f t="shared" si="9"/>
        <v>3.2</v>
      </c>
      <c r="J46" s="30" t="s">
        <v>1</v>
      </c>
      <c r="K46" s="30" t="s">
        <v>1</v>
      </c>
    </row>
    <row r="47" spans="1:12" x14ac:dyDescent="0.25">
      <c r="A47" s="66" t="s">
        <v>115</v>
      </c>
      <c r="B47" s="27">
        <f>IF($A47='NO TOUCH - BACKGROUND'!$A$13,'NO TOUCH - BACKGROUND'!$B$13,'NO TOUCH - BACKGROUND'!$B$14)</f>
        <v>34.4</v>
      </c>
      <c r="C47" s="27">
        <f>($B47-$D47)/'NO TOUCH - BACKGROUND'!$B$31</f>
        <v>387.93103448275861</v>
      </c>
      <c r="D47" s="27">
        <f>IF($A47='NO TOUCH - BACKGROUND'!$A$13,'NO TOUCH - BACKGROUND'!$C$13,'NO TOUCH - BACKGROUND'!$C$14)</f>
        <v>20</v>
      </c>
      <c r="E47" s="27">
        <f>$B47-($C47*'NO TOUCH - BACKGROUND'!$C$31)</f>
        <v>19.585036292638904</v>
      </c>
      <c r="F47" s="27">
        <f t="shared" si="7"/>
        <v>19.585036292638904</v>
      </c>
      <c r="G47" s="27">
        <f t="shared" si="7"/>
        <v>19.585036292638904</v>
      </c>
      <c r="H47" s="27">
        <f t="shared" si="8"/>
        <v>19.585036292638904</v>
      </c>
      <c r="I47" s="27">
        <f t="shared" si="9"/>
        <v>20</v>
      </c>
      <c r="J47" s="28" t="s">
        <v>1</v>
      </c>
      <c r="K47" s="30" t="s">
        <v>1</v>
      </c>
    </row>
    <row r="48" spans="1:12" x14ac:dyDescent="0.25">
      <c r="A48" s="66" t="s">
        <v>119</v>
      </c>
      <c r="B48" s="27">
        <f>IF($A48='NO TOUCH - BACKGROUND'!$A$15,'NO TOUCH - BACKGROUND'!$B$15,'NO TOUCH - BACKGROUND'!$B$16)</f>
        <v>1.44</v>
      </c>
      <c r="C48" s="27">
        <f>($B48-$D48)/'NO TOUCH - BACKGROUND'!$B$31</f>
        <v>12.931034482758621</v>
      </c>
      <c r="D48" s="27">
        <f>IF($A48='NO TOUCH - BACKGROUND'!$A$15,'NO TOUCH - BACKGROUND'!$C$15,'NO TOUCH - BACKGROUND'!$C$16)</f>
        <v>0.96</v>
      </c>
      <c r="E48" s="27">
        <f>$B48-($C48*'NO TOUCH - BACKGROUND'!$C$31)</f>
        <v>0.94616787642129674</v>
      </c>
      <c r="F48" s="27">
        <f t="shared" si="7"/>
        <v>0.94616787642129674</v>
      </c>
      <c r="G48" s="27">
        <f t="shared" si="7"/>
        <v>0.94616787642129674</v>
      </c>
      <c r="H48" s="27">
        <f t="shared" si="8"/>
        <v>0.94616787642129674</v>
      </c>
      <c r="I48" s="27">
        <f t="shared" si="9"/>
        <v>0.96</v>
      </c>
      <c r="J48" s="43" t="s">
        <v>1</v>
      </c>
      <c r="K48" s="30" t="s">
        <v>1</v>
      </c>
      <c r="L48" s="4"/>
    </row>
    <row r="49" spans="1:12" s="4" customFormat="1" x14ac:dyDescent="0.25">
      <c r="A49" s="66" t="s">
        <v>116</v>
      </c>
      <c r="B49" s="27">
        <f>IF($A49='NO TOUCH - BACKGROUND'!$A$17,'NO TOUCH - BACKGROUND'!$B$17,'NO TOUCH - BACKGROUND'!$B$18)</f>
        <v>1.5</v>
      </c>
      <c r="C49" s="27">
        <f>($B49-$D49)/'NO TOUCH - BACKGROUND'!$B$31</f>
        <v>13.469827586206897</v>
      </c>
      <c r="D49" s="27">
        <f>IF($A49='NO TOUCH - BACKGROUND'!$A$17,'NO TOUCH - BACKGROUND'!$C$17,'NO TOUCH - BACKGROUND'!$C$18)</f>
        <v>1</v>
      </c>
      <c r="E49" s="27">
        <f>$B49-($C49*'NO TOUCH - BACKGROUND'!$C$31)</f>
        <v>0.98559153793885079</v>
      </c>
      <c r="F49" s="27">
        <f t="shared" si="7"/>
        <v>0.98559153793885079</v>
      </c>
      <c r="G49" s="27">
        <f t="shared" si="7"/>
        <v>0.98559153793885079</v>
      </c>
      <c r="H49" s="27">
        <f t="shared" si="8"/>
        <v>0.98559153793885079</v>
      </c>
      <c r="I49" s="27">
        <f t="shared" si="9"/>
        <v>1</v>
      </c>
      <c r="J49" s="43" t="s">
        <v>1</v>
      </c>
      <c r="K49" s="30" t="s">
        <v>1</v>
      </c>
    </row>
    <row r="50" spans="1:12" s="4" customFormat="1" x14ac:dyDescent="0.25">
      <c r="A50" s="6"/>
      <c r="B50" s="5"/>
      <c r="C50" s="5"/>
      <c r="D50" s="5"/>
      <c r="E50" s="5"/>
      <c r="F50" s="5"/>
      <c r="G50" s="5"/>
      <c r="H50" s="5"/>
      <c r="I50" s="5"/>
      <c r="J50" s="5"/>
      <c r="K50" s="5"/>
      <c r="L50" s="1"/>
    </row>
    <row r="52" spans="1:12" x14ac:dyDescent="0.25">
      <c r="K52" s="1"/>
    </row>
    <row r="53" spans="1:12" x14ac:dyDescent="0.25">
      <c r="K53" s="1"/>
    </row>
    <row r="54" spans="1:12" x14ac:dyDescent="0.25">
      <c r="G54" s="6"/>
      <c r="H54" s="6"/>
      <c r="I54" s="6"/>
      <c r="J54" s="6"/>
      <c r="K54" s="6"/>
    </row>
    <row r="55" spans="1:12" s="6" customFormat="1" x14ac:dyDescent="0.25">
      <c r="G55" s="1"/>
      <c r="H55" s="1"/>
      <c r="I55" s="1"/>
      <c r="J55" s="1"/>
      <c r="K55" s="1"/>
    </row>
    <row r="56" spans="1:12" x14ac:dyDescent="0.25">
      <c r="G56" s="1"/>
      <c r="H56" s="1"/>
      <c r="I56" s="1"/>
      <c r="J56" s="1"/>
      <c r="K56" s="1"/>
    </row>
    <row r="57" spans="1:12" x14ac:dyDescent="0.25">
      <c r="G57" s="1"/>
      <c r="H57" s="1"/>
      <c r="I57" s="1"/>
      <c r="J57" s="1"/>
      <c r="K57" s="1"/>
    </row>
    <row r="58" spans="1:12" x14ac:dyDescent="0.25">
      <c r="G58" s="13"/>
      <c r="H58" s="1"/>
      <c r="I58" s="1"/>
      <c r="J58" s="1"/>
      <c r="K58" s="1"/>
    </row>
    <row r="59" spans="1:12" x14ac:dyDescent="0.25">
      <c r="H59" s="1"/>
      <c r="I59" s="1"/>
      <c r="J59" s="1"/>
      <c r="K59" s="1"/>
    </row>
    <row r="60" spans="1:12" x14ac:dyDescent="0.25">
      <c r="G60" s="1"/>
      <c r="H60" s="1"/>
      <c r="I60" s="1"/>
      <c r="J60" s="1"/>
      <c r="K60" s="1"/>
    </row>
    <row r="61" spans="1:12" x14ac:dyDescent="0.25">
      <c r="G61" s="1"/>
      <c r="H61" s="1"/>
      <c r="I61" s="1"/>
      <c r="J61" s="1"/>
      <c r="K61" s="1"/>
    </row>
    <row r="62" spans="1:12" x14ac:dyDescent="0.25">
      <c r="G62" s="1"/>
      <c r="H62" s="1"/>
      <c r="I62" s="1"/>
      <c r="J62" s="1"/>
      <c r="K62" s="1"/>
    </row>
    <row r="63" spans="1:12" x14ac:dyDescent="0.25">
      <c r="G63" s="1"/>
      <c r="H63" s="1"/>
      <c r="I63" s="1"/>
      <c r="J63" s="1"/>
      <c r="K63" s="1"/>
    </row>
    <row r="64" spans="1:12" x14ac:dyDescent="0.25">
      <c r="G64" s="1"/>
      <c r="H64" s="1"/>
      <c r="I64" s="1"/>
      <c r="J64" s="1"/>
      <c r="K64" s="1"/>
    </row>
    <row r="65" spans="1:11" x14ac:dyDescent="0.25">
      <c r="G65" s="1"/>
      <c r="H65" s="1"/>
      <c r="I65" s="1"/>
      <c r="J65" s="1"/>
      <c r="K65" s="1"/>
    </row>
    <row r="66" spans="1:11" x14ac:dyDescent="0.25">
      <c r="G66" s="1"/>
      <c r="H66" s="1"/>
      <c r="I66" s="1"/>
      <c r="J66" s="1"/>
      <c r="K66" s="1"/>
    </row>
    <row r="67" spans="1:11" x14ac:dyDescent="0.25">
      <c r="G67" s="1"/>
      <c r="H67" s="1"/>
      <c r="I67" s="1"/>
      <c r="J67" s="1"/>
      <c r="K67" s="1"/>
    </row>
    <row r="68" spans="1:11" x14ac:dyDescent="0.25">
      <c r="G68" s="1"/>
      <c r="H68" s="1"/>
      <c r="I68" s="1"/>
      <c r="J68" s="1"/>
      <c r="K68" s="1"/>
    </row>
    <row r="69" spans="1:11" x14ac:dyDescent="0.25">
      <c r="G69" s="1"/>
      <c r="H69" s="1"/>
      <c r="I69" s="1"/>
      <c r="J69" s="1"/>
      <c r="K69" s="1"/>
    </row>
    <row r="70" spans="1:11" x14ac:dyDescent="0.25">
      <c r="G70" s="1"/>
      <c r="H70" s="1"/>
      <c r="I70" s="1"/>
      <c r="J70" s="1"/>
      <c r="K70" s="1"/>
    </row>
    <row r="71" spans="1:11" x14ac:dyDescent="0.25">
      <c r="G71" s="1"/>
      <c r="H71" s="1"/>
      <c r="I71" s="1"/>
      <c r="J71" s="1"/>
      <c r="K71" s="1"/>
    </row>
    <row r="72" spans="1:11" x14ac:dyDescent="0.25">
      <c r="G72" s="1"/>
      <c r="H72" s="1"/>
      <c r="I72" s="1"/>
      <c r="J72" s="1"/>
      <c r="K72" s="1"/>
    </row>
    <row r="73" spans="1:11" x14ac:dyDescent="0.25">
      <c r="G73" s="1"/>
      <c r="H73" s="1"/>
      <c r="I73" s="1"/>
      <c r="J73" s="1"/>
      <c r="K73" s="1"/>
    </row>
    <row r="74" spans="1:11" x14ac:dyDescent="0.25">
      <c r="A74" s="1"/>
      <c r="B74" s="1"/>
      <c r="C74" s="1"/>
      <c r="D74" s="1"/>
      <c r="E74" s="1"/>
      <c r="F74" s="1"/>
      <c r="G74" s="1"/>
      <c r="H74" s="1"/>
      <c r="I74" s="1"/>
      <c r="J74" s="1"/>
      <c r="K74" s="1"/>
    </row>
    <row r="75" spans="1:11" x14ac:dyDescent="0.25">
      <c r="A75" s="1"/>
      <c r="B75" s="1"/>
      <c r="C75" s="1"/>
      <c r="D75" s="1"/>
      <c r="E75" s="1"/>
      <c r="F75" s="1"/>
      <c r="G75" s="1"/>
      <c r="H75" s="1"/>
      <c r="I75" s="1"/>
      <c r="J75" s="1"/>
      <c r="K75" s="1"/>
    </row>
    <row r="76" spans="1:11" x14ac:dyDescent="0.25">
      <c r="A76" s="1"/>
      <c r="B76" s="1"/>
      <c r="C76" s="1"/>
      <c r="D76" s="1"/>
      <c r="E76" s="1"/>
      <c r="F76" s="1"/>
      <c r="G76" s="1"/>
      <c r="H76" s="1"/>
      <c r="I76" s="1"/>
      <c r="J76" s="1"/>
      <c r="K76" s="1"/>
    </row>
    <row r="77" spans="1:11" x14ac:dyDescent="0.25">
      <c r="A77" s="1"/>
      <c r="B77" s="1"/>
      <c r="C77" s="1"/>
      <c r="D77" s="1"/>
      <c r="E77" s="1"/>
      <c r="F77" s="1"/>
      <c r="G77" s="1"/>
      <c r="H77" s="1"/>
      <c r="I77" s="1"/>
      <c r="J77" s="1"/>
      <c r="K77" s="1"/>
    </row>
    <row r="78" spans="1:11" x14ac:dyDescent="0.25">
      <c r="A78" s="1"/>
      <c r="B78" s="1"/>
      <c r="C78" s="1"/>
      <c r="D78" s="1"/>
    </row>
    <row r="79" spans="1:11" x14ac:dyDescent="0.25">
      <c r="A79" s="1"/>
      <c r="B79" s="1"/>
    </row>
    <row r="80" spans="1:11" x14ac:dyDescent="0.25">
      <c r="A80" s="1"/>
      <c r="B80" s="1"/>
    </row>
  </sheetData>
  <conditionalFormatting sqref="B10">
    <cfRule type="cellIs" dxfId="4" priority="1" operator="lessThan">
      <formula>100</formula>
    </cfRule>
  </conditionalFormatting>
  <conditionalFormatting sqref="B11">
    <cfRule type="cellIs" dxfId="3" priority="5" operator="greaterThan">
      <formula>-100</formula>
    </cfRule>
  </conditionalFormatting>
  <conditionalFormatting sqref="B12">
    <cfRule type="cellIs" dxfId="2" priority="6" operator="notBetween">
      <formula>0</formula>
      <formula>100</formula>
    </cfRule>
  </conditionalFormatting>
  <conditionalFormatting sqref="B33">
    <cfRule type="cellIs" dxfId="1" priority="7" operator="greaterThan">
      <formula>$B$27</formula>
    </cfRule>
  </conditionalFormatting>
  <conditionalFormatting sqref="J35 J37:J38">
    <cfRule type="cellIs" dxfId="0" priority="10" operator="lessThan">
      <formula>0</formula>
    </cfRule>
  </conditionalFormatting>
  <pageMargins left="0.7" right="0.7" top="0.75" bottom="0.75" header="0.3" footer="0.3"/>
  <pageSetup orientation="portrait" horizontalDpi="1200" verticalDpi="1200" r:id="rId1"/>
  <ignoredErrors>
    <ignoredError sqref="G36 C43 C39 B36:F36 I43 F43 F39 B16" formula="1"/>
    <ignoredError sqref="G44:H44 E39 G39:G42 H39:H42" evalError="1"/>
    <ignoredError sqref="G43:H43 E43" evalError="1" formula="1"/>
  </ignoredErrors>
  <drawing r:id="rId2"/>
  <extLst>
    <ext xmlns:x14="http://schemas.microsoft.com/office/spreadsheetml/2009/9/main" uri="{CCE6A557-97BC-4b89-ADB6-D9C93CAAB3DF}">
      <x14:dataValidations xmlns:xm="http://schemas.microsoft.com/office/excel/2006/main" count="5">
        <x14:dataValidation type="list" showInputMessage="1" showErrorMessage="1" xr:uid="{EB62D8F2-B59A-461C-BCDC-624AA036E04A}">
          <x14:formula1>
            <xm:f>'NO TOUCH - BACKGROUND'!$A$77:$A$80</xm:f>
          </x14:formula1>
          <xm:sqref>B13</xm:sqref>
        </x14:dataValidation>
        <x14:dataValidation type="list" showInputMessage="1" showErrorMessage="1" xr:uid="{F9A07A71-93BA-41E6-907A-495C1E6A6E06}">
          <x14:formula1>
            <xm:f>'NO TOUCH - BACKGROUND'!$A$11:$A$12</xm:f>
          </x14:formula1>
          <xm:sqref>A46</xm:sqref>
        </x14:dataValidation>
        <x14:dataValidation type="list" showInputMessage="1" showErrorMessage="1" xr:uid="{95EA4695-466D-41EC-9210-D42075E56C39}">
          <x14:formula1>
            <xm:f>'NO TOUCH - BACKGROUND'!$A$13:$A$14</xm:f>
          </x14:formula1>
          <xm:sqref>A47</xm:sqref>
        </x14:dataValidation>
        <x14:dataValidation type="list" showInputMessage="1" showErrorMessage="1" xr:uid="{B9BEAABF-455D-4556-972B-4742A4DD1455}">
          <x14:formula1>
            <xm:f>'NO TOUCH - BACKGROUND'!$A$15:$A$16</xm:f>
          </x14:formula1>
          <xm:sqref>A48</xm:sqref>
        </x14:dataValidation>
        <x14:dataValidation type="list" showInputMessage="1" showErrorMessage="1" xr:uid="{CCB7E72E-8656-46B9-956F-683AA3DDD0E9}">
          <x14:formula1>
            <xm:f>'NO TOUCH - BACKGROUND'!$A$17:$A$18</xm:f>
          </x14:formula1>
          <xm:sqref>A49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F758E-E034-428E-9DF1-C306ED575579}">
  <dimension ref="A1:Q80"/>
  <sheetViews>
    <sheetView zoomScaleNormal="100" workbookViewId="0">
      <selection activeCell="G20" sqref="G20"/>
    </sheetView>
  </sheetViews>
  <sheetFormatPr defaultColWidth="8.7109375" defaultRowHeight="15.75" x14ac:dyDescent="0.25"/>
  <cols>
    <col min="1" max="1" width="44.7109375" style="47" bestFit="1" customWidth="1"/>
    <col min="2" max="2" width="29.7109375" style="12" bestFit="1" customWidth="1"/>
    <col min="3" max="3" width="30.85546875" style="12" bestFit="1" customWidth="1"/>
    <col min="4" max="4" width="19.85546875" style="12" bestFit="1" customWidth="1"/>
    <col min="5" max="5" width="20.140625" style="12" bestFit="1" customWidth="1"/>
    <col min="6" max="6" width="29.7109375" style="12" bestFit="1" customWidth="1"/>
    <col min="7" max="7" width="30.85546875" style="12" bestFit="1" customWidth="1"/>
    <col min="8" max="8" width="19.85546875" style="12" bestFit="1" customWidth="1"/>
    <col min="9" max="9" width="20.140625" style="12" bestFit="1" customWidth="1"/>
    <col min="10" max="10" width="29.7109375" style="12" bestFit="1" customWidth="1"/>
    <col min="11" max="11" width="30.85546875" style="12" bestFit="1" customWidth="1"/>
    <col min="12" max="12" width="19.85546875" style="12" bestFit="1" customWidth="1"/>
    <col min="13" max="13" width="20.140625" style="12" bestFit="1" customWidth="1"/>
    <col min="14" max="14" width="29.7109375" style="12" bestFit="1" customWidth="1"/>
    <col min="15" max="15" width="30.85546875" style="12" bestFit="1" customWidth="1"/>
    <col min="16" max="16" width="19.85546875" style="12" bestFit="1" customWidth="1"/>
    <col min="17" max="17" width="20.140625" style="12" bestFit="1" customWidth="1"/>
    <col min="18" max="16384" width="8.7109375" style="12"/>
  </cols>
  <sheetData>
    <row r="1" spans="1:17" x14ac:dyDescent="0.25">
      <c r="A1" s="97" t="s">
        <v>32</v>
      </c>
      <c r="B1" s="95"/>
      <c r="C1" s="96"/>
    </row>
    <row r="2" spans="1:17" s="47" customFormat="1" ht="31.5" x14ac:dyDescent="0.25">
      <c r="A2" s="57" t="s">
        <v>64</v>
      </c>
      <c r="B2" s="58" t="s">
        <v>156</v>
      </c>
      <c r="C2" s="58" t="s">
        <v>155</v>
      </c>
      <c r="D2" s="58" t="s">
        <v>154</v>
      </c>
      <c r="E2" s="58" t="s">
        <v>153</v>
      </c>
      <c r="F2" s="59" t="s">
        <v>157</v>
      </c>
      <c r="G2" s="59" t="s">
        <v>158</v>
      </c>
      <c r="H2" s="59" t="s">
        <v>159</v>
      </c>
      <c r="I2" s="59" t="s">
        <v>160</v>
      </c>
      <c r="J2" s="62" t="s">
        <v>161</v>
      </c>
      <c r="K2" s="62" t="s">
        <v>162</v>
      </c>
      <c r="L2" s="62" t="s">
        <v>163</v>
      </c>
      <c r="M2" s="62" t="s">
        <v>164</v>
      </c>
      <c r="N2" s="64" t="s">
        <v>165</v>
      </c>
      <c r="O2" s="64" t="s">
        <v>166</v>
      </c>
      <c r="P2" s="64" t="s">
        <v>167</v>
      </c>
      <c r="Q2" s="64" t="s">
        <v>168</v>
      </c>
    </row>
    <row r="3" spans="1:17" x14ac:dyDescent="0.25">
      <c r="A3" s="43">
        <v>0</v>
      </c>
      <c r="B3" s="60">
        <f>'DIVE PLANNER'!$B$27-'DIVE PLANNER'!$B$43-(0*$B$24)-'DIVE PLANNER'!$B$36-$A3</f>
        <v>965.33600000000001</v>
      </c>
      <c r="C3" s="60">
        <f>$B3*($C$23/$B$23)</f>
        <v>839.42260869565223</v>
      </c>
      <c r="D3" s="60">
        <f>'DIVE PLANNER'!$B$11-'DIVE PLANNER'!$D$43-(0*$C$24)-$C3</f>
        <v>-801.98260869565229</v>
      </c>
      <c r="E3" s="60">
        <f>'DIVE PLANNER'!$B$11-'DIVE PLANNER'!$D$43-(0*$C$24)</f>
        <v>37.44</v>
      </c>
      <c r="F3" s="61">
        <f>'DIVE PLANNER'!$B$27-'DIVE PLANNER'!$B$43-(1*$B$24)-'DIVE PLANNER'!$B$36-$A3</f>
        <v>807.33600000000001</v>
      </c>
      <c r="G3" s="61">
        <f>$F3*($C$23/$B$23)</f>
        <v>702.03130434782622</v>
      </c>
      <c r="H3" s="61">
        <f>'DIVE PLANNER'!$B$11-'DIVE PLANNER'!$D$43-(1*$C$24)-$G3</f>
        <v>-548.59130434782628</v>
      </c>
      <c r="I3" s="61">
        <f>'DIVE PLANNER'!$B$11-'DIVE PLANNER'!$D$43-(1*$C$24)</f>
        <v>153.44</v>
      </c>
      <c r="J3" s="63">
        <f>'DIVE PLANNER'!$B$27-'DIVE PLANNER'!$B$43-(2*$B$24)-'DIVE PLANNER'!$B$36-$A3</f>
        <v>649.33600000000001</v>
      </c>
      <c r="K3" s="63">
        <f>$J3*($C$23/$B$23)</f>
        <v>564.6400000000001</v>
      </c>
      <c r="L3" s="63">
        <f>'DIVE PLANNER'!$B$11-'DIVE PLANNER'!$D$43-(2*$C$24)-$K3</f>
        <v>-295.2000000000001</v>
      </c>
      <c r="M3" s="63">
        <f>'DIVE PLANNER'!$B$11-'DIVE PLANNER'!$D$43-(2*$C$24)</f>
        <v>269.44</v>
      </c>
      <c r="N3" s="65">
        <f>'DIVE PLANNER'!$B$27-'DIVE PLANNER'!$B$43-(3*$B$24)-'DIVE PLANNER'!$B$36-$A3</f>
        <v>491.33600000000007</v>
      </c>
      <c r="O3" s="65">
        <f>$N3*($C$23/$B$23)</f>
        <v>427.24869565217404</v>
      </c>
      <c r="P3" s="65">
        <f>'DIVE PLANNER'!$B$11-'DIVE PLANNER'!$D$43-(3*$C$24)-$O3</f>
        <v>-41.808695652174038</v>
      </c>
      <c r="Q3" s="65">
        <f>'DIVE PLANNER'!$B$11-'DIVE PLANNER'!$D$43-(3*$C$24)</f>
        <v>385.44</v>
      </c>
    </row>
    <row r="4" spans="1:17" x14ac:dyDescent="0.25">
      <c r="A4" s="98">
        <f>$N$3</f>
        <v>491.33600000000007</v>
      </c>
      <c r="B4" s="60">
        <f>'DIVE PLANNER'!$B$27-'DIVE PLANNER'!$B$43-(0*$B$24)-'DIVE PLANNER'!$B$36-$A4</f>
        <v>473.99999999999994</v>
      </c>
      <c r="C4" s="60">
        <f t="shared" ref="C4:C7" si="0">$B4*($C$23/$B$23)</f>
        <v>412.17391304347825</v>
      </c>
      <c r="D4" s="60">
        <f>'DIVE PLANNER'!$B$11-'DIVE PLANNER'!$D$43-(0*$C$24)-$C4</f>
        <v>-374.73391304347825</v>
      </c>
      <c r="E4" s="60">
        <f>'DIVE PLANNER'!$B$11-'DIVE PLANNER'!$D$43-(0*$C$24)</f>
        <v>37.44</v>
      </c>
      <c r="F4" s="61">
        <f>'DIVE PLANNER'!$B$27-'DIVE PLANNER'!$B$43-(1*$B$24)-'DIVE PLANNER'!$B$36-$A4</f>
        <v>315.99999999999994</v>
      </c>
      <c r="G4" s="61">
        <f t="shared" ref="G4:G6" si="1">$F4*($C$23/$B$23)</f>
        <v>274.78260869565213</v>
      </c>
      <c r="H4" s="61">
        <f>'DIVE PLANNER'!$B$11-'DIVE PLANNER'!$D$43-(1*$C$24)-$G4</f>
        <v>-121.34260869565213</v>
      </c>
      <c r="I4" s="61">
        <f>'DIVE PLANNER'!$B$11-'DIVE PLANNER'!$D$43-(1*$C$24)</f>
        <v>153.44</v>
      </c>
      <c r="J4" s="63">
        <f>'DIVE PLANNER'!$B$27-'DIVE PLANNER'!$B$43-(2*$B$24)-'DIVE PLANNER'!$B$36-$A4</f>
        <v>157.99999999999994</v>
      </c>
      <c r="K4" s="63">
        <f t="shared" ref="K4:K5" si="2">$J4*($C$23/$B$23)</f>
        <v>137.39130434782606</v>
      </c>
      <c r="L4" s="63">
        <f>'DIVE PLANNER'!$B$11-'DIVE PLANNER'!$D$43-(2*$C$24)-$K4</f>
        <v>132.04869565217393</v>
      </c>
      <c r="M4" s="63">
        <f>'DIVE PLANNER'!$B$11-'DIVE PLANNER'!$D$43-(2*$C$24)</f>
        <v>269.44</v>
      </c>
      <c r="N4" s="65">
        <f>'DIVE PLANNER'!$B$27-'DIVE PLANNER'!$B$43-(3*$B$24)-'DIVE PLANNER'!$B$36-$A4</f>
        <v>0</v>
      </c>
      <c r="O4" s="65">
        <f>$N4*($C$23/$B$23)</f>
        <v>0</v>
      </c>
      <c r="P4" s="65">
        <f>'DIVE PLANNER'!$B$11-'DIVE PLANNER'!$D$43-(3*$C$24)-$O4</f>
        <v>385.44</v>
      </c>
      <c r="Q4" s="65">
        <f>'DIVE PLANNER'!$B$11-'DIVE PLANNER'!$D$43-(3*$C$24)</f>
        <v>385.44</v>
      </c>
    </row>
    <row r="5" spans="1:17" x14ac:dyDescent="0.25">
      <c r="A5" s="98">
        <f>$J$3</f>
        <v>649.33600000000001</v>
      </c>
      <c r="B5" s="60">
        <f>'DIVE PLANNER'!$B$27-'DIVE PLANNER'!$B$43-(0*$B$24)-'DIVE PLANNER'!$B$36-$A5</f>
        <v>316</v>
      </c>
      <c r="C5" s="60">
        <f t="shared" si="0"/>
        <v>274.78260869565219</v>
      </c>
      <c r="D5" s="60">
        <f>'DIVE PLANNER'!$B$11-'DIVE PLANNER'!$D$43-(0*$C$24)-$C5</f>
        <v>-237.34260869565219</v>
      </c>
      <c r="E5" s="60">
        <f>'DIVE PLANNER'!$B$11-'DIVE PLANNER'!$D$43-(0*$C$24)</f>
        <v>37.44</v>
      </c>
      <c r="F5" s="61">
        <f>'DIVE PLANNER'!$B$27-'DIVE PLANNER'!$B$43-(1*$B$24)-'DIVE PLANNER'!$B$36-$A5</f>
        <v>158</v>
      </c>
      <c r="G5" s="61">
        <f t="shared" si="1"/>
        <v>137.39130434782609</v>
      </c>
      <c r="H5" s="61">
        <f>'DIVE PLANNER'!$B$11-'DIVE PLANNER'!$D$43-(1*$C$24)-$G5</f>
        <v>16.048695652173905</v>
      </c>
      <c r="I5" s="61">
        <f>'DIVE PLANNER'!$B$11-'DIVE PLANNER'!$D$43-(1*$C$24)</f>
        <v>153.44</v>
      </c>
      <c r="J5" s="63">
        <f>'DIVE PLANNER'!$B$27-'DIVE PLANNER'!$B$43-(2*$B$24)-'DIVE PLANNER'!$B$36-$A5</f>
        <v>0</v>
      </c>
      <c r="K5" s="63">
        <f t="shared" si="2"/>
        <v>0</v>
      </c>
      <c r="L5" s="63">
        <f>'DIVE PLANNER'!$B$11-'DIVE PLANNER'!$D$43-(2*$C$24)-$K5</f>
        <v>269.44</v>
      </c>
      <c r="M5" s="63">
        <f>'DIVE PLANNER'!$B$11-'DIVE PLANNER'!$D$43-(2*$C$24)</f>
        <v>269.44</v>
      </c>
      <c r="N5" s="89"/>
      <c r="O5" s="89"/>
      <c r="P5" s="89"/>
      <c r="Q5" s="89"/>
    </row>
    <row r="6" spans="1:17" x14ac:dyDescent="0.25">
      <c r="A6" s="98">
        <f>$F$3</f>
        <v>807.33600000000001</v>
      </c>
      <c r="B6" s="60">
        <f>'DIVE PLANNER'!$B$27-'DIVE PLANNER'!$B$43-(0*$B$24)-'DIVE PLANNER'!$B$36-$A6</f>
        <v>158</v>
      </c>
      <c r="C6" s="60">
        <f t="shared" si="0"/>
        <v>137.39130434782609</v>
      </c>
      <c r="D6" s="60">
        <f>'DIVE PLANNER'!$B$11-'DIVE PLANNER'!$D$43-(0*$C$24)-$C6</f>
        <v>-99.951304347826095</v>
      </c>
      <c r="E6" s="60">
        <f>'DIVE PLANNER'!$B$11-'DIVE PLANNER'!$D$43-(0*$C$24)</f>
        <v>37.44</v>
      </c>
      <c r="F6" s="61">
        <f>'DIVE PLANNER'!$B$27-'DIVE PLANNER'!$B$43-(1*$B$24)-'DIVE PLANNER'!$B$36-$A6</f>
        <v>0</v>
      </c>
      <c r="G6" s="61">
        <f t="shared" si="1"/>
        <v>0</v>
      </c>
      <c r="H6" s="61">
        <f>'DIVE PLANNER'!$B$11-'DIVE PLANNER'!$D$43-(1*$C$24)-$G6</f>
        <v>153.44</v>
      </c>
      <c r="I6" s="61">
        <f>'DIVE PLANNER'!$B$11-'DIVE PLANNER'!$D$43-(1*$C$24)</f>
        <v>153.44</v>
      </c>
      <c r="J6" s="89"/>
      <c r="K6" s="89"/>
      <c r="L6" s="89"/>
      <c r="M6" s="89"/>
      <c r="N6" s="89"/>
      <c r="O6" s="89"/>
      <c r="P6" s="89"/>
      <c r="Q6" s="89"/>
    </row>
    <row r="7" spans="1:17" x14ac:dyDescent="0.25">
      <c r="A7" s="98">
        <f>$B$3</f>
        <v>965.33600000000001</v>
      </c>
      <c r="B7" s="60">
        <f>'DIVE PLANNER'!$B$27-'DIVE PLANNER'!$B$43-(0*$B$24)-'DIVE PLANNER'!$B$36-$A7</f>
        <v>0</v>
      </c>
      <c r="C7" s="60">
        <f t="shared" si="0"/>
        <v>0</v>
      </c>
      <c r="D7" s="60">
        <f>'DIVE PLANNER'!$B$11-'DIVE PLANNER'!$D$43-(0*$C$24)-$C7</f>
        <v>37.44</v>
      </c>
      <c r="E7" s="60">
        <f>'DIVE PLANNER'!$B$11-'DIVE PLANNER'!$D$43-(0*$C$24)</f>
        <v>37.44</v>
      </c>
      <c r="F7" s="89"/>
      <c r="G7" s="89"/>
      <c r="H7" s="89"/>
      <c r="I7" s="89"/>
      <c r="J7" s="89"/>
      <c r="K7" s="89"/>
      <c r="L7" s="89"/>
      <c r="M7" s="89"/>
      <c r="N7" s="89"/>
      <c r="O7" s="89"/>
      <c r="P7" s="89"/>
      <c r="Q7" s="89"/>
    </row>
    <row r="8" spans="1:17" x14ac:dyDescent="0.25">
      <c r="A8" s="99"/>
      <c r="B8" s="89"/>
      <c r="C8" s="89"/>
      <c r="D8" s="89"/>
      <c r="E8" s="89"/>
      <c r="F8" s="89"/>
      <c r="G8" s="89"/>
      <c r="H8" s="89"/>
      <c r="I8" s="89"/>
      <c r="J8" s="89"/>
      <c r="K8" s="89"/>
      <c r="L8" s="89"/>
      <c r="M8" s="89"/>
      <c r="N8" s="89"/>
      <c r="O8" s="89"/>
      <c r="P8" s="89"/>
      <c r="Q8" s="89"/>
    </row>
    <row r="9" spans="1:17" x14ac:dyDescent="0.25">
      <c r="A9" s="92" t="s">
        <v>110</v>
      </c>
      <c r="B9" s="45"/>
      <c r="C9" s="45"/>
      <c r="D9" s="1"/>
      <c r="E9" s="1"/>
    </row>
    <row r="10" spans="1:17" x14ac:dyDescent="0.25">
      <c r="A10" s="93" t="s">
        <v>112</v>
      </c>
      <c r="B10" s="46" t="s">
        <v>59</v>
      </c>
      <c r="C10" s="46" t="s">
        <v>60</v>
      </c>
      <c r="D10" s="13"/>
      <c r="E10" s="1"/>
    </row>
    <row r="11" spans="1:17" x14ac:dyDescent="0.25">
      <c r="A11" s="41" t="s">
        <v>113</v>
      </c>
      <c r="B11" s="27">
        <v>6.3239999999999998</v>
      </c>
      <c r="C11" s="27">
        <v>3.2</v>
      </c>
      <c r="D11" s="1"/>
      <c r="E11" s="1"/>
    </row>
    <row r="12" spans="1:17" x14ac:dyDescent="0.25">
      <c r="A12" s="41" t="s">
        <v>111</v>
      </c>
      <c r="B12" s="27">
        <v>6.3239999999999998</v>
      </c>
      <c r="C12" s="27">
        <v>3.2</v>
      </c>
      <c r="D12" s="1"/>
      <c r="E12" s="1"/>
    </row>
    <row r="13" spans="1:17" x14ac:dyDescent="0.25">
      <c r="A13" s="41" t="s">
        <v>114</v>
      </c>
      <c r="B13" s="27">
        <v>29.1</v>
      </c>
      <c r="C13" s="27">
        <v>13</v>
      </c>
      <c r="D13" s="1"/>
      <c r="E13" s="1"/>
    </row>
    <row r="14" spans="1:17" x14ac:dyDescent="0.25">
      <c r="A14" s="41" t="s">
        <v>115</v>
      </c>
      <c r="B14" s="27">
        <v>34.4</v>
      </c>
      <c r="C14" s="27">
        <v>20</v>
      </c>
      <c r="D14" s="1"/>
      <c r="E14" s="1"/>
    </row>
    <row r="15" spans="1:17" ht="31.5" x14ac:dyDescent="0.25">
      <c r="A15" s="41" t="s">
        <v>118</v>
      </c>
      <c r="B15" s="42">
        <v>1.44</v>
      </c>
      <c r="C15" s="42">
        <v>0.96</v>
      </c>
      <c r="D15" s="1"/>
      <c r="E15" s="1"/>
    </row>
    <row r="16" spans="1:17" ht="31.5" x14ac:dyDescent="0.25">
      <c r="A16" s="41" t="s">
        <v>119</v>
      </c>
      <c r="B16" s="42">
        <v>1.44</v>
      </c>
      <c r="C16" s="42">
        <v>0.96</v>
      </c>
      <c r="D16" s="1"/>
      <c r="E16" s="1"/>
    </row>
    <row r="17" spans="1:5" ht="31.5" x14ac:dyDescent="0.25">
      <c r="A17" s="41" t="s">
        <v>117</v>
      </c>
      <c r="B17" s="42">
        <v>1.5</v>
      </c>
      <c r="C17" s="42">
        <v>1</v>
      </c>
      <c r="D17" s="1"/>
      <c r="E17" s="1"/>
    </row>
    <row r="18" spans="1:5" ht="31.5" x14ac:dyDescent="0.25">
      <c r="A18" s="41" t="s">
        <v>116</v>
      </c>
      <c r="B18" s="42">
        <v>1.5</v>
      </c>
      <c r="C18" s="42">
        <v>1</v>
      </c>
      <c r="D18" s="1"/>
      <c r="E18" s="1"/>
    </row>
    <row r="19" spans="1:5" x14ac:dyDescent="0.25">
      <c r="A19" s="111"/>
      <c r="B19" s="112"/>
      <c r="C19" s="112"/>
      <c r="D19" s="1"/>
      <c r="E19" s="1"/>
    </row>
    <row r="20" spans="1:5" x14ac:dyDescent="0.25">
      <c r="A20" s="92" t="s">
        <v>141</v>
      </c>
      <c r="B20" s="45"/>
      <c r="C20" s="45"/>
      <c r="D20" s="45"/>
      <c r="E20" s="5"/>
    </row>
    <row r="21" spans="1:5" x14ac:dyDescent="0.25">
      <c r="A21" s="93" t="s">
        <v>21</v>
      </c>
      <c r="B21" s="46" t="s">
        <v>59</v>
      </c>
      <c r="C21" s="46" t="s">
        <v>60</v>
      </c>
      <c r="D21" s="46" t="s">
        <v>61</v>
      </c>
      <c r="E21" s="32" t="s">
        <v>62</v>
      </c>
    </row>
    <row r="22" spans="1:5" x14ac:dyDescent="0.25">
      <c r="A22" s="43" t="s">
        <v>1</v>
      </c>
      <c r="B22" s="28" t="s">
        <v>6</v>
      </c>
      <c r="C22" s="28" t="s">
        <v>2</v>
      </c>
      <c r="D22" s="28" t="s">
        <v>2</v>
      </c>
      <c r="E22" s="28" t="s">
        <v>12</v>
      </c>
    </row>
    <row r="23" spans="1:5" x14ac:dyDescent="0.25">
      <c r="A23" s="94" t="s">
        <v>63</v>
      </c>
      <c r="B23" s="27">
        <v>18.399999999999999</v>
      </c>
      <c r="C23" s="27">
        <v>16</v>
      </c>
      <c r="D23" s="121">
        <f>$B$23-($C$31*$B$23/$C$32)</f>
        <v>15.930868302783221</v>
      </c>
      <c r="E23" s="28">
        <v>0.625</v>
      </c>
    </row>
    <row r="24" spans="1:5" x14ac:dyDescent="0.25">
      <c r="A24" s="94" t="s">
        <v>152</v>
      </c>
      <c r="B24" s="27">
        <v>158</v>
      </c>
      <c r="C24" s="27">
        <v>-116</v>
      </c>
      <c r="D24" s="28" t="s">
        <v>1</v>
      </c>
      <c r="E24" s="28" t="s">
        <v>1</v>
      </c>
    </row>
    <row r="25" spans="1:5" x14ac:dyDescent="0.25">
      <c r="A25" s="108" t="s">
        <v>151</v>
      </c>
      <c r="B25" s="109">
        <v>425</v>
      </c>
      <c r="C25" s="109">
        <v>-333</v>
      </c>
      <c r="D25" s="110" t="s">
        <v>1</v>
      </c>
      <c r="E25" s="110" t="s">
        <v>1</v>
      </c>
    </row>
    <row r="26" spans="1:5" x14ac:dyDescent="0.25">
      <c r="A26" s="94" t="s">
        <v>56</v>
      </c>
      <c r="B26" s="27">
        <v>326.8</v>
      </c>
      <c r="C26" s="27">
        <v>170.4</v>
      </c>
      <c r="D26" s="27" t="s">
        <v>1</v>
      </c>
      <c r="E26" s="28" t="s">
        <v>1</v>
      </c>
    </row>
    <row r="27" spans="1:5" x14ac:dyDescent="0.25">
      <c r="A27" s="111"/>
      <c r="B27" s="112"/>
      <c r="C27" s="112"/>
      <c r="D27" s="1"/>
      <c r="E27" s="1"/>
    </row>
    <row r="28" spans="1:5" x14ac:dyDescent="0.25">
      <c r="A28" s="92" t="s">
        <v>19</v>
      </c>
      <c r="B28" s="5"/>
      <c r="C28" s="5"/>
      <c r="D28" s="2"/>
      <c r="E28" s="5"/>
    </row>
    <row r="29" spans="1:5" x14ac:dyDescent="0.25">
      <c r="A29" s="93" t="s">
        <v>21</v>
      </c>
      <c r="B29" s="32" t="s">
        <v>57</v>
      </c>
      <c r="C29" s="32" t="s">
        <v>58</v>
      </c>
      <c r="D29" s="32" t="s">
        <v>22</v>
      </c>
      <c r="E29" s="5"/>
    </row>
    <row r="30" spans="1:5" x14ac:dyDescent="0.25">
      <c r="A30" s="43" t="s">
        <v>1</v>
      </c>
      <c r="B30" s="28" t="s">
        <v>4</v>
      </c>
      <c r="C30" s="28" t="s">
        <v>4</v>
      </c>
      <c r="D30" s="28" t="s">
        <v>10</v>
      </c>
      <c r="E30" s="5"/>
    </row>
    <row r="31" spans="1:5" x14ac:dyDescent="0.25">
      <c r="A31" s="94" t="s">
        <v>20</v>
      </c>
      <c r="B31" s="28">
        <v>3.712E-2</v>
      </c>
      <c r="C31" s="44">
        <f>$B$36</f>
        <v>3.8189684223419715E-2</v>
      </c>
      <c r="D31" s="28" t="s">
        <v>1</v>
      </c>
      <c r="E31" s="6"/>
    </row>
    <row r="32" spans="1:5" x14ac:dyDescent="0.25">
      <c r="A32" s="94" t="s">
        <v>142</v>
      </c>
      <c r="B32" s="28">
        <v>0.28459000000000001</v>
      </c>
      <c r="C32" s="44">
        <f>$B$32</f>
        <v>0.28459000000000001</v>
      </c>
      <c r="D32" s="28" t="s">
        <v>1</v>
      </c>
      <c r="E32" s="6"/>
    </row>
    <row r="33" spans="1:5" x14ac:dyDescent="0.25">
      <c r="A33" s="94" t="s">
        <v>23</v>
      </c>
      <c r="B33" s="28">
        <v>2.0830000000000001E-2</v>
      </c>
      <c r="C33" s="44">
        <f>$B$33*(($D$33+$B$40)/$D$33)</f>
        <v>2.1306448126451789E-2</v>
      </c>
      <c r="D33" s="28">
        <v>423000</v>
      </c>
      <c r="E33" s="1"/>
    </row>
    <row r="35" spans="1:5" x14ac:dyDescent="0.25">
      <c r="A35" s="100" t="s">
        <v>109</v>
      </c>
      <c r="B35" s="95"/>
      <c r="C35" s="96"/>
    </row>
    <row r="36" spans="1:5" x14ac:dyDescent="0.25">
      <c r="A36" s="101" t="s">
        <v>65</v>
      </c>
      <c r="B36" s="53">
        <f>$B$37*0.00003612729</f>
        <v>3.8189684223419715E-2</v>
      </c>
      <c r="C36" s="54" t="s">
        <v>66</v>
      </c>
    </row>
    <row r="37" spans="1:5" x14ac:dyDescent="0.25">
      <c r="A37" s="102" t="s">
        <v>65</v>
      </c>
      <c r="B37" s="52">
        <f>$B$44/(1-($B$41/$B$52))</f>
        <v>1057.0868787395821</v>
      </c>
      <c r="C37" s="21" t="s">
        <v>67</v>
      </c>
    </row>
    <row r="38" spans="1:5" x14ac:dyDescent="0.25">
      <c r="A38" s="103" t="s">
        <v>68</v>
      </c>
      <c r="B38" s="50">
        <v>35</v>
      </c>
      <c r="C38" s="21" t="s">
        <v>69</v>
      </c>
    </row>
    <row r="39" spans="1:5" x14ac:dyDescent="0.25">
      <c r="A39" s="103" t="s">
        <v>70</v>
      </c>
      <c r="B39" s="50">
        <v>0</v>
      </c>
      <c r="C39" s="21" t="s">
        <v>71</v>
      </c>
    </row>
    <row r="40" spans="1:5" x14ac:dyDescent="0.25">
      <c r="A40" s="104" t="s">
        <v>72</v>
      </c>
      <c r="B40" s="55">
        <f>$B$41*14.50377</f>
        <v>9675.3508156076114</v>
      </c>
      <c r="C40" s="54" t="s">
        <v>10</v>
      </c>
    </row>
    <row r="41" spans="1:5" x14ac:dyDescent="0.25">
      <c r="A41" s="103" t="s">
        <v>72</v>
      </c>
      <c r="B41" s="52">
        <f>24693-SQRT(($B$42/-0.0002)+(24693^2))</f>
        <v>667.09212953650058</v>
      </c>
      <c r="C41" s="21" t="s">
        <v>73</v>
      </c>
    </row>
    <row r="42" spans="1:5" x14ac:dyDescent="0.25">
      <c r="A42" s="104" t="s">
        <v>74</v>
      </c>
      <c r="B42" s="56">
        <f>'DIVE PLANNER'!$B$9</f>
        <v>6500</v>
      </c>
      <c r="C42" s="54" t="s">
        <v>75</v>
      </c>
    </row>
    <row r="43" spans="1:5" x14ac:dyDescent="0.25">
      <c r="A43" s="100" t="s">
        <v>76</v>
      </c>
      <c r="B43" s="90"/>
      <c r="C43" s="91"/>
    </row>
    <row r="44" spans="1:5" x14ac:dyDescent="0.25">
      <c r="A44" s="102" t="s">
        <v>77</v>
      </c>
      <c r="B44" s="50">
        <f>$B$45+(($B$48+($B$49*$B$39))*$B$38)+(($B$50+($B$51*$B$39))*($B$38^1.5))</f>
        <v>1027.5144849148107</v>
      </c>
      <c r="C44" s="21" t="s">
        <v>67</v>
      </c>
    </row>
    <row r="45" spans="1:5" x14ac:dyDescent="0.25">
      <c r="A45" s="102" t="s">
        <v>78</v>
      </c>
      <c r="B45" s="50">
        <f>$B$46+($B$47*$B$39)</f>
        <v>999.84259399999996</v>
      </c>
      <c r="C45" s="21" t="s">
        <v>67</v>
      </c>
    </row>
    <row r="46" spans="1:5" x14ac:dyDescent="0.25">
      <c r="A46" s="103" t="s">
        <v>79</v>
      </c>
      <c r="B46" s="50">
        <v>999.84259399999996</v>
      </c>
      <c r="C46" s="21" t="s">
        <v>1</v>
      </c>
    </row>
    <row r="47" spans="1:5" x14ac:dyDescent="0.25">
      <c r="A47" s="103" t="s">
        <v>80</v>
      </c>
      <c r="B47" s="50">
        <v>6.7939520000000003E-2</v>
      </c>
      <c r="C47" s="21" t="s">
        <v>1</v>
      </c>
    </row>
    <row r="48" spans="1:5" x14ac:dyDescent="0.25">
      <c r="A48" s="103" t="s">
        <v>81</v>
      </c>
      <c r="B48" s="50">
        <v>0.82449300000000003</v>
      </c>
      <c r="C48" s="21" t="s">
        <v>1</v>
      </c>
    </row>
    <row r="49" spans="1:3" x14ac:dyDescent="0.25">
      <c r="A49" s="103" t="s">
        <v>82</v>
      </c>
      <c r="B49" s="50">
        <v>-4.0898999999999996E-3</v>
      </c>
      <c r="C49" s="21" t="s">
        <v>1</v>
      </c>
    </row>
    <row r="50" spans="1:3" x14ac:dyDescent="0.25">
      <c r="A50" s="103" t="s">
        <v>83</v>
      </c>
      <c r="B50" s="50">
        <v>-5.7246600000000003E-3</v>
      </c>
      <c r="C50" s="21" t="s">
        <v>1</v>
      </c>
    </row>
    <row r="51" spans="1:3" x14ac:dyDescent="0.25">
      <c r="A51" s="103" t="s">
        <v>84</v>
      </c>
      <c r="B51" s="50">
        <v>1.0226999999999999E-4</v>
      </c>
      <c r="C51" s="21" t="s">
        <v>1</v>
      </c>
    </row>
    <row r="52" spans="1:3" x14ac:dyDescent="0.25">
      <c r="A52" s="103" t="s">
        <v>85</v>
      </c>
      <c r="B52" s="50">
        <f>$B$53+($B$62*$B$41)+($B$69*($B$41^2))</f>
        <v>23845.696808379034</v>
      </c>
      <c r="C52" s="21" t="s">
        <v>86</v>
      </c>
    </row>
    <row r="53" spans="1:3" x14ac:dyDescent="0.25">
      <c r="A53" s="103" t="s">
        <v>87</v>
      </c>
      <c r="B53" s="50">
        <f>$B$54+(($B$58+($B$59*$B$39))*$B$38)+(($B$60+($B$61*$B$39))*($B$38^1.5))</f>
        <v>21582.270068228929</v>
      </c>
      <c r="C53" s="21" t="s">
        <v>86</v>
      </c>
    </row>
    <row r="54" spans="1:3" x14ac:dyDescent="0.25">
      <c r="A54" s="103" t="s">
        <v>88</v>
      </c>
      <c r="B54" s="50">
        <f>$B$55+($B$56*$B$39)+($B$57*($B$39^2))</f>
        <v>19652.21</v>
      </c>
      <c r="C54" s="21" t="s">
        <v>86</v>
      </c>
    </row>
    <row r="55" spans="1:3" x14ac:dyDescent="0.25">
      <c r="A55" s="103" t="s">
        <v>89</v>
      </c>
      <c r="B55" s="50">
        <v>19652.21</v>
      </c>
      <c r="C55" s="21" t="s">
        <v>1</v>
      </c>
    </row>
    <row r="56" spans="1:3" x14ac:dyDescent="0.25">
      <c r="A56" s="103" t="s">
        <v>90</v>
      </c>
      <c r="B56" s="50">
        <v>148.42060000000001</v>
      </c>
      <c r="C56" s="21" t="s">
        <v>1</v>
      </c>
    </row>
    <row r="57" spans="1:3" x14ac:dyDescent="0.25">
      <c r="A57" s="103" t="s">
        <v>91</v>
      </c>
      <c r="B57" s="50">
        <v>-2.327105</v>
      </c>
      <c r="C57" s="21" t="s">
        <v>1</v>
      </c>
    </row>
    <row r="58" spans="1:3" x14ac:dyDescent="0.25">
      <c r="A58" s="103" t="s">
        <v>92</v>
      </c>
      <c r="B58" s="50">
        <v>54.674599999999998</v>
      </c>
      <c r="C58" s="21" t="s">
        <v>1</v>
      </c>
    </row>
    <row r="59" spans="1:3" x14ac:dyDescent="0.25">
      <c r="A59" s="103" t="s">
        <v>93</v>
      </c>
      <c r="B59" s="50">
        <v>-0.60345899999999997</v>
      </c>
      <c r="C59" s="21" t="s">
        <v>1</v>
      </c>
    </row>
    <row r="60" spans="1:3" x14ac:dyDescent="0.25">
      <c r="A60" s="103" t="s">
        <v>94</v>
      </c>
      <c r="B60" s="50">
        <v>7.9439999999999997E-2</v>
      </c>
      <c r="C60" s="21" t="s">
        <v>1</v>
      </c>
    </row>
    <row r="61" spans="1:3" x14ac:dyDescent="0.25">
      <c r="A61" s="103" t="s">
        <v>95</v>
      </c>
      <c r="B61" s="50">
        <v>1.6483000000000001E-2</v>
      </c>
      <c r="C61" s="21" t="s">
        <v>1</v>
      </c>
    </row>
    <row r="62" spans="1:3" x14ac:dyDescent="0.25">
      <c r="A62" s="103" t="s">
        <v>96</v>
      </c>
      <c r="B62" s="50">
        <f>$B$63+(($B$66+($B$67*$B$39))*$B$38)+($B$68*($B$38^1.5))</f>
        <v>3.3594055230594515</v>
      </c>
      <c r="C62" s="21" t="s">
        <v>1</v>
      </c>
    </row>
    <row r="63" spans="1:3" x14ac:dyDescent="0.25">
      <c r="A63" s="103" t="s">
        <v>97</v>
      </c>
      <c r="B63" s="50">
        <f>$B$64+($B$65*$B$39)</f>
        <v>3.2399079999999998</v>
      </c>
      <c r="C63" s="21" t="s">
        <v>1</v>
      </c>
    </row>
    <row r="64" spans="1:3" x14ac:dyDescent="0.25">
      <c r="A64" s="103" t="s">
        <v>98</v>
      </c>
      <c r="B64" s="50">
        <v>3.2399079999999998</v>
      </c>
      <c r="C64" s="21" t="s">
        <v>1</v>
      </c>
    </row>
    <row r="65" spans="1:3" x14ac:dyDescent="0.25">
      <c r="A65" s="103" t="s">
        <v>99</v>
      </c>
      <c r="B65" s="50">
        <v>1.43713E-3</v>
      </c>
      <c r="C65" s="21" t="s">
        <v>1</v>
      </c>
    </row>
    <row r="66" spans="1:3" x14ac:dyDescent="0.25">
      <c r="A66" s="103" t="s">
        <v>100</v>
      </c>
      <c r="B66" s="50">
        <v>2.2837999999999999E-3</v>
      </c>
      <c r="C66" s="21" t="s">
        <v>1</v>
      </c>
    </row>
    <row r="67" spans="1:3" x14ac:dyDescent="0.25">
      <c r="A67" s="103" t="s">
        <v>101</v>
      </c>
      <c r="B67" s="50">
        <v>-1.0981E-5</v>
      </c>
      <c r="C67" s="21" t="s">
        <v>1</v>
      </c>
    </row>
    <row r="68" spans="1:3" x14ac:dyDescent="0.25">
      <c r="A68" s="103" t="s">
        <v>102</v>
      </c>
      <c r="B68" s="50">
        <v>1.91075E-4</v>
      </c>
      <c r="C68" s="21" t="s">
        <v>1</v>
      </c>
    </row>
    <row r="69" spans="1:3" x14ac:dyDescent="0.25">
      <c r="A69" s="103" t="s">
        <v>103</v>
      </c>
      <c r="B69" s="50">
        <f>$B$70+(($B$73+($B$74*$B$39))*$B$38)</f>
        <v>5.0321700000000003E-5</v>
      </c>
      <c r="C69" s="21" t="s">
        <v>1</v>
      </c>
    </row>
    <row r="70" spans="1:3" x14ac:dyDescent="0.25">
      <c r="A70" s="103" t="s">
        <v>104</v>
      </c>
      <c r="B70" s="50">
        <f>$B$71+($B$72*$B$39)</f>
        <v>8.5093500000000001E-5</v>
      </c>
      <c r="C70" s="51" t="s">
        <v>1</v>
      </c>
    </row>
    <row r="71" spans="1:3" x14ac:dyDescent="0.25">
      <c r="A71" s="103" t="s">
        <v>105</v>
      </c>
      <c r="B71" s="50">
        <v>8.5093500000000001E-5</v>
      </c>
      <c r="C71" s="21" t="s">
        <v>1</v>
      </c>
    </row>
    <row r="72" spans="1:3" x14ac:dyDescent="0.25">
      <c r="A72" s="103" t="s">
        <v>106</v>
      </c>
      <c r="B72" s="50">
        <v>-6.1229299999999998E-6</v>
      </c>
      <c r="C72" s="21" t="s">
        <v>1</v>
      </c>
    </row>
    <row r="73" spans="1:3" x14ac:dyDescent="0.25">
      <c r="A73" s="103" t="s">
        <v>107</v>
      </c>
      <c r="B73" s="50">
        <v>-9.9347999999999997E-7</v>
      </c>
      <c r="C73" s="21" t="s">
        <v>1</v>
      </c>
    </row>
    <row r="74" spans="1:3" x14ac:dyDescent="0.25">
      <c r="A74" s="103" t="s">
        <v>108</v>
      </c>
      <c r="B74" s="50">
        <v>2.0815999999999999E-8</v>
      </c>
      <c r="C74" s="21" t="s">
        <v>1</v>
      </c>
    </row>
    <row r="76" spans="1:3" x14ac:dyDescent="0.25">
      <c r="A76" s="93" t="s">
        <v>122</v>
      </c>
      <c r="B76" s="5"/>
    </row>
    <row r="77" spans="1:3" x14ac:dyDescent="0.25">
      <c r="A77" s="43">
        <v>0</v>
      </c>
      <c r="B77" s="5"/>
    </row>
    <row r="78" spans="1:3" x14ac:dyDescent="0.25">
      <c r="A78" s="105">
        <v>1</v>
      </c>
      <c r="B78" s="48"/>
    </row>
    <row r="79" spans="1:3" x14ac:dyDescent="0.25">
      <c r="A79" s="106">
        <v>2</v>
      </c>
    </row>
    <row r="80" spans="1:3" x14ac:dyDescent="0.25">
      <c r="A80" s="107">
        <v>3</v>
      </c>
    </row>
  </sheetData>
  <phoneticPr fontId="11"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W M 1 W k x 1 k J K l A A A A 9 g A A A B I A H A B D b 2 5 m a W c v U G F j a 2 F n Z S 5 4 b W w g o h g A K K A U A A A A A A A A A A A A A A A A A A A A A A A A A A A A h Y 9 L D o I w G I S v Q r q n D 0 h 8 k J + y c C u J C d G 4 b W q F R i i G F s v d X H g k r y B G U X c u 5 5 t v M X O / 3 i A b m j q 4 q M 7 q 1 q S I Y Y o C Z W R 7 0 K Z M U e + O 4 Q J l H D Z C n k S p g l E 2 N h n s I U W V c + e E E O 8 9 9 j F u u 5 J E l D K y z 9 e F r F Q j 0 E f W / + V Q G + u E k Q p x 2 L 3 G 8 A i z e I n Z f I Y p k A l C r s 1 X i M a 9 z / Y H w q q v X d 8 p r k y 4 L Y B M E c j 7 A 3 8 A U E s D B B Q A A g A I A J F j N V 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R Y z V a K I p H u A 4 A A A A R A A A A E w A c A E Z v c m 1 1 b G F z L 1 N l Y 3 R p b 2 4 x L m 0 g o h g A K K A U A A A A A A A A A A A A A A A A A A A A A A A A A A A A K 0 5 N L s n M z 1 M I h t C G 1 g B Q S w E C L Q A U A A I A C A C R Y z V a T H W Q k q U A A A D 2 A A A A E g A A A A A A A A A A A A A A A A A A A A A A Q 2 9 u Z m l n L 1 B h Y 2 t h Z 2 U u e G 1 s U E s B A i 0 A F A A C A A g A k W M 1 W g / K 6 a u k A A A A 6 Q A A A B M A A A A A A A A A A A A A A A A A 8 Q A A A F t D b 2 5 0 Z W 5 0 X 1 R 5 c G V z X S 5 4 b W x Q S w E C L Q A U A A I A C A C R Y z V 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N X 0 E y m U u 8 E 6 L q L q C K q X Z E A A A A A A C A A A A A A A Q Z g A A A A E A A C A A A A C l o b m V A O j J + + E q N h f j / i 5 w Y q a F B P + k F Q J C z b 4 i 5 l n W A Q A A A A A O g A A A A A I A A C A A A A C / Q U Z S K D 2 6 A / / t I u 8 J S x n / l 7 n V E l O C q o K s o b J K 0 p y O p F A A A A C c c z I 8 4 1 c p 2 s r 7 s 1 K S W Y k 4 / R f / h Y C p j a M p H S / a z a Y d 9 e 7 T v 2 i X J S f B 2 E L 8 R o 0 u o Z X m R C V Y 0 J T G U m 1 E a x 8 E / X U V m g N Q 1 h T u P i Y 2 B p 1 3 E A 3 3 X U A A A A C C X y K t 0 k z 3 p M c u V 5 8 y a 5 w g p q I J t H V q h W a b m 1 J J 7 A p S 7 b i U R 6 E m z U K f k o m 4 d m H 0 7 q J 4 s X x U M r U a G 8 W u i o 6 P g J W c < / D a t a M a s h u p > 
</file>

<file path=customXml/itemProps1.xml><?xml version="1.0" encoding="utf-8"?>
<ds:datastoreItem xmlns:ds="http://schemas.openxmlformats.org/officeDocument/2006/customXml" ds:itemID="{B3706FF9-ABB1-4C06-B766-1A2F96740EF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SCI GEAR LOADOUT</vt:lpstr>
      <vt:lpstr>DIVE PLANNER</vt:lpstr>
      <vt:lpstr>NO TOUCH - BACKGROUND</vt:lpstr>
      <vt:lpstr>'SCI GEAR LOADOUT'!Criteria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Rick Chandler</cp:lastModifiedBy>
  <cp:lastPrinted>2023-08-07T16:59:15Z</cp:lastPrinted>
  <dcterms:created xsi:type="dcterms:W3CDTF">2023-01-18T15:08:04Z</dcterms:created>
  <dcterms:modified xsi:type="dcterms:W3CDTF">2026-07-16T17:25:19Z</dcterms:modified>
</cp:coreProperties>
</file>